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6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rona Jan. 20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<sst xmlns="http://schemas.openxmlformats.org/spreadsheetml/2006/main" count="46" uniqueCount="41">
  <si>
    <t xml:space="preserve">MODEL: CORONA per januari 2021</t>
  </si>
  <si>
    <t xml:space="preserve">VARIABELEN</t>
  </si>
  <si>
    <t xml:space="preserve">STARTWAARDEN</t>
  </si>
  <si>
    <t xml:space="preserve">PARAMETERS</t>
  </si>
  <si>
    <t xml:space="preserve">MODELFORMULES</t>
  </si>
  <si>
    <t xml:space="preserve">RESULTATEN</t>
  </si>
  <si>
    <t xml:space="preserve">tijd</t>
  </si>
  <si>
    <t xml:space="preserve">t</t>
  </si>
  <si>
    <t xml:space="preserve">dagen</t>
  </si>
  <si>
    <r>
      <rPr>
        <sz val="10"/>
        <rFont val="Arial"/>
        <family val="2"/>
        <charset val="1"/>
      </rPr>
      <t xml:space="preserve">gemiddeld aantal besmettingen / besmet persoon / dag:</t>
    </r>
    <r>
      <rPr>
        <b val="true"/>
        <sz val="10"/>
        <rFont val="Arial"/>
        <family val="2"/>
        <charset val="1"/>
      </rPr>
      <t xml:space="preserve"> b-gem</t>
    </r>
  </si>
  <si>
    <t xml:space="preserve">N(t+dt)=N(t)-B(t)*%overleden</t>
  </si>
  <si>
    <t xml:space="preserve">Totaal aantal overledenen</t>
  </si>
  <si>
    <t xml:space="preserve">Percentage overleden</t>
  </si>
  <si>
    <t xml:space="preserve">stapgrootte tijd</t>
  </si>
  <si>
    <r>
      <rPr>
        <sz val="10"/>
        <rFont val="Arial"/>
        <family val="2"/>
        <charset val="1"/>
      </rPr>
      <t xml:space="preserve">∆</t>
    </r>
    <r>
      <rPr>
        <sz val="11"/>
        <color rgb="FF000000"/>
        <rFont val="Calibri"/>
        <family val="2"/>
        <charset val="1"/>
      </rPr>
      <t xml:space="preserve">t</t>
    </r>
  </si>
  <si>
    <t xml:space="preserve">Totaal aantal personen dat gedurende de griepgolf ziek geweest is</t>
  </si>
  <si>
    <t xml:space="preserve">procent</t>
  </si>
  <si>
    <t xml:space="preserve">totaal aantal personen</t>
  </si>
  <si>
    <t xml:space="preserve">N</t>
  </si>
  <si>
    <r>
      <rPr>
        <sz val="11"/>
        <color rgb="FF000000"/>
        <rFont val="Calibri"/>
        <family val="2"/>
        <charset val="1"/>
      </rPr>
      <t xml:space="preserve">aantal dagen dat iemand besmettelijk blijft: </t>
    </r>
    <r>
      <rPr>
        <b val="true"/>
        <sz val="10"/>
        <rFont val="Arial"/>
        <family val="2"/>
        <charset val="1"/>
      </rPr>
      <t xml:space="preserve">periode p</t>
    </r>
  </si>
  <si>
    <t xml:space="preserve"># besmettingen/persoon</t>
  </si>
  <si>
    <r>
      <rPr>
        <sz val="9"/>
        <rFont val="Arial"/>
        <family val="2"/>
        <charset val="1"/>
      </rPr>
      <t xml:space="preserve">Grootste aantal personen dat </t>
    </r>
    <r>
      <rPr>
        <b val="true"/>
        <sz val="9"/>
        <rFont val="Arial"/>
        <family val="2"/>
        <charset val="1"/>
      </rPr>
      <t xml:space="preserve">tegelijk</t>
    </r>
    <r>
      <rPr>
        <sz val="9"/>
        <rFont val="Arial"/>
        <family val="2"/>
        <charset val="1"/>
      </rPr>
      <t xml:space="preserve"> ziek is</t>
    </r>
  </si>
  <si>
    <t xml:space="preserve">Im(t+dt)=Im(t)+B(t)</t>
  </si>
  <si>
    <t xml:space="preserve">aantal besmette personen</t>
  </si>
  <si>
    <t xml:space="preserve">B</t>
  </si>
  <si>
    <t xml:space="preserve">V(t+dt)=V(t)-B(t+dt)</t>
  </si>
  <si>
    <t xml:space="preserve">Na hoeveel dagen valt dat maximum ?</t>
  </si>
  <si>
    <t xml:space="preserve">B(t+dt)=B(t)*g*p*V(t)/N(t)</t>
  </si>
  <si>
    <t xml:space="preserve">aantal immune personen</t>
  </si>
  <si>
    <t xml:space="preserve">Im</t>
  </si>
  <si>
    <r>
      <rPr>
        <sz val="10"/>
        <rFont val="Arial"/>
        <family val="2"/>
        <charset val="1"/>
      </rPr>
      <t xml:space="preserve">initieel %      immune personen: </t>
    </r>
    <r>
      <rPr>
        <b val="true"/>
        <sz val="10"/>
        <rFont val="Arial"/>
        <family val="2"/>
        <charset val="1"/>
      </rPr>
      <t xml:space="preserve">%immuun</t>
    </r>
  </si>
  <si>
    <t xml:space="preserve"> </t>
  </si>
  <si>
    <t xml:space="preserve">Totaal aantal personen dat op de IC ligt tijdens de piek</t>
  </si>
  <si>
    <t xml:space="preserve">aantal vatbare personen</t>
  </si>
  <si>
    <t xml:space="preserve">V</t>
  </si>
  <si>
    <t xml:space="preserve">N.B.: te wijzigen</t>
  </si>
  <si>
    <t xml:space="preserve">tijd t</t>
  </si>
  <si>
    <t xml:space="preserve">%Immuun</t>
  </si>
  <si>
    <t xml:space="preserve">totaal</t>
  </si>
  <si>
    <t xml:space="preserve">R*V/N</t>
  </si>
  <si>
    <t xml:space="preserve">############## Hoeveel mensen worden ziek door besmetting door 1 persoon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</si>
</sst>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0.00%"/>
    <numFmt numFmtId="167" formatCode="General"/>
    <numFmt numFmtId="168" formatCode="0.0"/>
    <numFmt numFmtId="169" formatCode="0.0000"/>
    <numFmt numFmtId="170" formatCode="0%"/>
    <numFmt numFmtId="171" formatCode="@"/>
    <numFmt numFmtId="172" formatCode="0.00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sz val="9"/>
      <name val="Arial"/>
      <family val="2"/>
      <charset val="1"/>
    </font>
    <font>
      <b val="true"/>
      <sz val="14"/>
      <color rgb="FFFFFFFF"/>
      <name val="Arial"/>
      <family val="2"/>
      <charset val="1"/>
    </font>
    <font>
      <sz val="8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6"/>
      <color rgb="FFFF0000"/>
      <name val="Arial"/>
      <family val="2"/>
      <charset val="1"/>
    </font>
    <font>
      <b val="true"/>
      <sz val="14"/>
      <color rgb="FFFF0000"/>
      <name val="Arial"/>
      <family val="2"/>
      <charset val="1"/>
    </font>
    <font>
      <sz val="8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sz val="12"/>
      <name val="Arial"/>
      <family val="2"/>
      <charset val="1"/>
    </font>
    <font>
      <b val="true"/>
      <i val="true"/>
      <sz val="10"/>
      <name val="Arial"/>
      <family val="2"/>
      <charset val="1"/>
    </font>
    <font>
      <b val="true"/>
      <sz val="12"/>
      <color rgb="FF000000"/>
      <name val="Arial"/>
      <family val="2"/>
    </font>
    <font>
      <sz val="10"/>
      <color rgb="FF000000"/>
      <name val="Arial"/>
      <family val="2"/>
    </font>
    <font>
      <b val="true"/>
      <sz val="10"/>
      <color rgb="FF000000"/>
      <name val="Arial"/>
      <family val="2"/>
    </font>
    <font>
      <sz val="9.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FF8080"/>
        <bgColor rgb="FFFF99CC"/>
      </patternFill>
    </fill>
    <fill>
      <patternFill patternType="solid">
        <fgColor rgb="FFCCFFFF"/>
        <bgColor rgb="FFCCFFFF"/>
      </patternFill>
    </fill>
    <fill>
      <patternFill patternType="solid">
        <fgColor rgb="FFFF0000"/>
        <bgColor rgb="FF993300"/>
      </patternFill>
    </fill>
    <fill>
      <patternFill patternType="solid">
        <fgColor rgb="FF00FF00"/>
        <bgColor rgb="FF33CCCC"/>
      </patternFill>
    </fill>
    <fill>
      <patternFill patternType="solid">
        <fgColor rgb="FF7030A0"/>
        <bgColor rgb="FF993366"/>
      </patternFill>
    </fill>
    <fill>
      <patternFill patternType="solid">
        <fgColor rgb="FF00FFFF"/>
        <bgColor rgb="FF00FFFF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5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6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4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4" borderId="6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8" fillId="7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8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0" xfId="2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8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2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8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1" fillId="2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4" borderId="8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7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0" fillId="2" borderId="1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19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0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1" xfId="2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8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5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1" fillId="2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9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9" borderId="2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9" borderId="0" xfId="2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4" fillId="9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4" fillId="9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3" xfId="2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4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5" xfId="2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8" xfId="2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1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2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10" borderId="2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0" borderId="2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0" borderId="1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" fillId="0" borderId="0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6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2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4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6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4" fillId="0" borderId="19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3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8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5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Standaard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nl-NL" sz="1200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nl-NL" sz="1200" spc="-1" strike="noStrike">
                <a:solidFill>
                  <a:srgbClr val="000000"/>
                </a:solidFill>
                <a:latin typeface="Arial"/>
                <a:ea typeface="Arial"/>
              </a:rPr>
              <a:t>Besmettelijken = Zieken</a:t>
            </a:r>
          </a:p>
        </c:rich>
      </c:tx>
      <c:layout>
        <c:manualLayout>
          <c:xMode val="edge"/>
          <c:yMode val="edge"/>
          <c:x val="0.313013501867279"/>
          <c:y val="0.0510630220197418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295030163746"/>
          <c:y val="0.232346241457859"/>
          <c:w val="0.746854352197644"/>
          <c:h val="0.5244874715261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'Corona Jan. 2021'!$A$1:$A$1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'Corona Jan. 2021'!$B$13:$B$53</c:f>
              <c:numCache>
                <c:formatCode>General</c:formatCode>
                <c:ptCount val="4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  <c:pt idx="11">
                  <c:v>88</c:v>
                </c:pt>
                <c:pt idx="12">
                  <c:v>96</c:v>
                </c:pt>
                <c:pt idx="13">
                  <c:v>104</c:v>
                </c:pt>
                <c:pt idx="14">
                  <c:v>112</c:v>
                </c:pt>
                <c:pt idx="15">
                  <c:v>120</c:v>
                </c:pt>
                <c:pt idx="16">
                  <c:v>128</c:v>
                </c:pt>
                <c:pt idx="17">
                  <c:v>136</c:v>
                </c:pt>
                <c:pt idx="18">
                  <c:v>144</c:v>
                </c:pt>
                <c:pt idx="19">
                  <c:v>152</c:v>
                </c:pt>
                <c:pt idx="20">
                  <c:v>160</c:v>
                </c:pt>
                <c:pt idx="21">
                  <c:v>168</c:v>
                </c:pt>
                <c:pt idx="22">
                  <c:v>176</c:v>
                </c:pt>
                <c:pt idx="23">
                  <c:v>184</c:v>
                </c:pt>
                <c:pt idx="24">
                  <c:v>192</c:v>
                </c:pt>
                <c:pt idx="25">
                  <c:v>200</c:v>
                </c:pt>
                <c:pt idx="26">
                  <c:v>208</c:v>
                </c:pt>
                <c:pt idx="27">
                  <c:v>216</c:v>
                </c:pt>
                <c:pt idx="28">
                  <c:v>224</c:v>
                </c:pt>
                <c:pt idx="29">
                  <c:v>232</c:v>
                </c:pt>
                <c:pt idx="30">
                  <c:v>240</c:v>
                </c:pt>
                <c:pt idx="31">
                  <c:v>248</c:v>
                </c:pt>
                <c:pt idx="32">
                  <c:v>256</c:v>
                </c:pt>
                <c:pt idx="33">
                  <c:v>264</c:v>
                </c:pt>
                <c:pt idx="34">
                  <c:v>272</c:v>
                </c:pt>
                <c:pt idx="35">
                  <c:v>280</c:v>
                </c:pt>
                <c:pt idx="36">
                  <c:v>288</c:v>
                </c:pt>
                <c:pt idx="37">
                  <c:v>296</c:v>
                </c:pt>
                <c:pt idx="38">
                  <c:v>304</c:v>
                </c:pt>
                <c:pt idx="39">
                  <c:v>312</c:v>
                </c:pt>
                <c:pt idx="40">
                  <c:v>320</c:v>
                </c:pt>
              </c:numCache>
            </c:numRef>
          </c:xVal>
          <c:yVal>
            <c:numRef>
              <c:f>'Corona Jan. 2021'!$C$13:$C$53</c:f>
              <c:numCache>
                <c:formatCode>General</c:formatCode>
                <c:ptCount val="41"/>
                <c:pt idx="0">
                  <c:v>140000</c:v>
                </c:pt>
                <c:pt idx="1">
                  <c:v>210560</c:v>
                </c:pt>
                <c:pt idx="2">
                  <c:v>311677.659691938</c:v>
                </c:pt>
                <c:pt idx="3">
                  <c:v>450386.489550553</c:v>
                </c:pt>
                <c:pt idx="4">
                  <c:v>627911.686952185</c:v>
                </c:pt>
                <c:pt idx="5">
                  <c:v>830843.182368003</c:v>
                </c:pt>
                <c:pt idx="6">
                  <c:v>1021259.52384329</c:v>
                </c:pt>
                <c:pt idx="7">
                  <c:v>1137175.62390903</c:v>
                </c:pt>
                <c:pt idx="8">
                  <c:v>1119552.37256986</c:v>
                </c:pt>
                <c:pt idx="9">
                  <c:v>959785.077916188</c:v>
                </c:pt>
                <c:pt idx="10">
                  <c:v>717978.965475914</c:v>
                </c:pt>
                <c:pt idx="11">
                  <c:v>478344.319984221</c:v>
                </c:pt>
                <c:pt idx="12">
                  <c:v>292586.886142916</c:v>
                </c:pt>
                <c:pt idx="13">
                  <c:v>169192.266462328</c:v>
                </c:pt>
                <c:pt idx="14">
                  <c:v>94568.2750935012</c:v>
                </c:pt>
                <c:pt idx="15">
                  <c:v>51836.3061728719</c:v>
                </c:pt>
                <c:pt idx="16">
                  <c:v>28106.3595980885</c:v>
                </c:pt>
                <c:pt idx="17">
                  <c:v>15149.3913361516</c:v>
                </c:pt>
                <c:pt idx="18">
                  <c:v>8139.33123479955</c:v>
                </c:pt>
                <c:pt idx="19">
                  <c:v>4365.45776790952</c:v>
                </c:pt>
                <c:pt idx="20">
                  <c:v>2339.1966671417</c:v>
                </c:pt>
                <c:pt idx="21">
                  <c:v>1252.81510056361</c:v>
                </c:pt>
                <c:pt idx="22">
                  <c:v>670.797008422115</c:v>
                </c:pt>
                <c:pt idx="23">
                  <c:v>359.114611151733</c:v>
                </c:pt>
                <c:pt idx="24">
                  <c:v>192.239107753566</c:v>
                </c:pt>
                <c:pt idx="25">
                  <c:v>102.9040780803</c:v>
                </c:pt>
                <c:pt idx="26">
                  <c:v>55.0825312655714</c:v>
                </c:pt>
                <c:pt idx="27">
                  <c:v>29.4842500790275</c:v>
                </c:pt>
                <c:pt idx="28">
                  <c:v>15.7820548701162</c:v>
                </c:pt>
                <c:pt idx="29">
                  <c:v>8.44764293014596</c:v>
                </c:pt>
                <c:pt idx="30">
                  <c:v>4.52175226625285</c:v>
                </c:pt>
                <c:pt idx="31">
                  <c:v>2.42034659713596</c:v>
                </c:pt>
                <c:pt idx="32">
                  <c:v>1.2955319704333</c:v>
                </c:pt>
                <c:pt idx="33">
                  <c:v>0.693455484510683</c:v>
                </c:pt>
                <c:pt idx="34">
                  <c:v>0.37118376758031</c:v>
                </c:pt>
                <c:pt idx="35">
                  <c:v>0.198682368911372</c:v>
                </c:pt>
                <c:pt idx="36">
                  <c:v>0.106348082781721</c:v>
                </c:pt>
                <c:pt idx="37">
                  <c:v>0.0569246003887325</c:v>
                </c:pt>
                <c:pt idx="38">
                  <c:v>0.0304698496228462</c:v>
                </c:pt>
                <c:pt idx="39">
                  <c:v>0.0163094992966055</c:v>
                </c:pt>
                <c:pt idx="40">
                  <c:v>0.00872993367779365</c:v>
                </c:pt>
              </c:numCache>
            </c:numRef>
          </c:yVal>
          <c:smooth val="1"/>
        </c:ser>
        <c:axId val="95139957"/>
        <c:axId val="44946117"/>
      </c:scatterChart>
      <c:valAx>
        <c:axId val="95139957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1" lang="nl-NL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nl-NL" sz="10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dagen</a:t>
                </a:r>
              </a:p>
            </c:rich>
          </c:tx>
          <c:layout>
            <c:manualLayout>
              <c:xMode val="edge"/>
              <c:yMode val="edge"/>
              <c:x val="0.47268026429187"/>
              <c:y val="0.866173120728929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44946117"/>
        <c:crosses val="autoZero"/>
        <c:crossBetween val="midCat"/>
      </c:valAx>
      <c:valAx>
        <c:axId val="44946117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nl-NL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1" lang="nl-NL" sz="10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aantal</a:t>
                </a:r>
              </a:p>
            </c:rich>
          </c:tx>
          <c:layout>
            <c:manualLayout>
              <c:xMode val="edge"/>
              <c:yMode val="edge"/>
              <c:x val="0.0243033611031313"/>
              <c:y val="0.422266514806378"/>
            </c:manualLayout>
          </c:layout>
          <c:overlay val="0"/>
          <c:spPr>
            <a:noFill/>
            <a:ln w="2556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95139957"/>
        <c:crosses val="autoZero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915152869248445"/>
          <c:y val="0.457746478873239"/>
          <c:w val="0.0727273803376248"/>
          <c:h val="0.0774647887323944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b="0" sz="920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6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73440</xdr:colOff>
      <xdr:row>11</xdr:row>
      <xdr:rowOff>66240</xdr:rowOff>
    </xdr:from>
    <xdr:to>
      <xdr:col>19</xdr:col>
      <xdr:colOff>280800</xdr:colOff>
      <xdr:row>33</xdr:row>
      <xdr:rowOff>3240</xdr:rowOff>
    </xdr:to>
    <xdr:graphicFrame>
      <xdr:nvGraphicFramePr>
        <xdr:cNvPr id="0" name="Grafiek 10"/>
        <xdr:cNvGraphicFramePr/>
      </xdr:nvGraphicFramePr>
      <xdr:xfrm>
        <a:off x="5818680" y="3754800"/>
        <a:ext cx="6265440" cy="3792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twoCell">
    <xdr:from>
      <xdr:col>12</xdr:col>
      <xdr:colOff>819720</xdr:colOff>
      <xdr:row>8</xdr:row>
      <xdr:rowOff>-360</xdr:rowOff>
    </xdr:from>
    <xdr:to>
      <xdr:col>17</xdr:col>
      <xdr:colOff>799920</xdr:colOff>
      <xdr:row>9</xdr:row>
      <xdr:rowOff>366120</xdr:rowOff>
    </xdr:to>
    <xdr:sp>
      <xdr:nvSpPr>
        <xdr:cNvPr id="1" name="CustomShape 1"/>
        <xdr:cNvSpPr/>
      </xdr:nvSpPr>
      <xdr:spPr>
        <a:xfrm flipH="1" flipV="1">
          <a:off x="6291000" y="2013840"/>
          <a:ext cx="2238840" cy="7074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11</xdr:col>
      <xdr:colOff>514440</xdr:colOff>
      <xdr:row>9</xdr:row>
      <xdr:rowOff>389160</xdr:rowOff>
    </xdr:from>
    <xdr:to>
      <xdr:col>14</xdr:col>
      <xdr:colOff>482760</xdr:colOff>
      <xdr:row>11</xdr:row>
      <xdr:rowOff>10080</xdr:rowOff>
    </xdr:to>
    <xdr:sp>
      <xdr:nvSpPr>
        <xdr:cNvPr id="2" name="CustomShape 1"/>
        <xdr:cNvSpPr/>
      </xdr:nvSpPr>
      <xdr:spPr>
        <a:xfrm flipH="1" flipV="1">
          <a:off x="5877720" y="3204720"/>
          <a:ext cx="1591200" cy="2469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6</xdr:col>
      <xdr:colOff>466920</xdr:colOff>
      <xdr:row>5</xdr:row>
      <xdr:rowOff>77400</xdr:rowOff>
    </xdr:from>
    <xdr:to>
      <xdr:col>7</xdr:col>
      <xdr:colOff>285480</xdr:colOff>
      <xdr:row>8</xdr:row>
      <xdr:rowOff>75600</xdr:rowOff>
    </xdr:to>
    <xdr:sp>
      <xdr:nvSpPr>
        <xdr:cNvPr id="3" name="CustomShape 1"/>
        <xdr:cNvSpPr/>
      </xdr:nvSpPr>
      <xdr:spPr>
        <a:xfrm>
          <a:off x="3613320" y="1624680"/>
          <a:ext cx="483120" cy="1172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5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4:4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1"/>
    <col collapsed="false" customWidth="true" hidden="false" outlineLevel="0" max="2" min="2" style="0" width="4.86"/>
    <col collapsed="false" customWidth="true" hidden="false" outlineLevel="0" max="3" min="3" style="0" width="9.71"/>
    <col collapsed="false" customWidth="true" hidden="false" outlineLevel="0" max="4" min="4" style="0" width="9.17"/>
    <col collapsed="false" customWidth="true" hidden="false" outlineLevel="0" max="5" min="5" style="0" width="9.72"/>
    <col collapsed="false" customWidth="true" hidden="false" outlineLevel="0" max="6" min="6" style="0" width="10.13"/>
    <col collapsed="false" customWidth="true" hidden="false" outlineLevel="0" max="7" min="7" style="0" width="9.42"/>
    <col collapsed="false" customWidth="true" hidden="false" outlineLevel="0" max="8" min="8" style="0" width="10"/>
    <col collapsed="false" customWidth="true" hidden="false" outlineLevel="0" max="9" min="9" style="0" width="17.41"/>
    <col collapsed="false" customWidth="true" hidden="false" outlineLevel="0" max="10" min="10" style="0" width="9.42"/>
    <col collapsed="false" customWidth="true" hidden="false" outlineLevel="0" max="11" min="11" style="0" width="7.71"/>
    <col collapsed="false" customWidth="true" hidden="false" outlineLevel="0" max="12" min="12" style="0" width="10.71"/>
    <col collapsed="false" customWidth="true" hidden="false" outlineLevel="0" max="13" min="13" style="0" width="12.29"/>
    <col collapsed="false" customWidth="true" hidden="true" outlineLevel="0" max="14" min="14" style="0" width="11.52"/>
    <col collapsed="false" customWidth="true" hidden="false" outlineLevel="0" max="15" min="15" style="0" width="8.86"/>
    <col collapsed="false" customWidth="true" hidden="false" outlineLevel="0" max="16" min="16" style="0" width="10.85"/>
    <col collapsed="false" customWidth="true" hidden="true" outlineLevel="0" max="17" min="17" style="0" width="11.52"/>
    <col collapsed="false" customWidth="true" hidden="false" outlineLevel="0" max="18" min="18" style="0" width="16.87"/>
    <col collapsed="false" customWidth="true" hidden="false" outlineLevel="0" max="19" min="19" style="0" width="9.13"/>
    <col collapsed="false" customWidth="true" hidden="false" outlineLevel="0" max="20" min="20" style="0" width="13.47"/>
    <col collapsed="false" customWidth="true" hidden="false" outlineLevel="0" max="21" min="21" style="0" width="1.13"/>
    <col collapsed="false" customWidth="true" hidden="false" outlineLevel="0" max="22" min="22" style="0" width="30.43"/>
  </cols>
  <sheetData>
    <row r="1" customFormat="false" ht="16.5" hidden="false" customHeight="fals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/>
      <c r="U1" s="1"/>
      <c r="V1" s="1"/>
    </row>
    <row r="2" customFormat="false" ht="15.75" hidden="false" customHeight="false" outlineLevel="0" collapsed="false">
      <c r="A2" s="1"/>
      <c r="B2" s="5" t="s">
        <v>1</v>
      </c>
      <c r="C2" s="6"/>
      <c r="D2" s="6"/>
      <c r="E2" s="6"/>
      <c r="F2" s="7"/>
      <c r="G2" s="8" t="s">
        <v>2</v>
      </c>
      <c r="H2" s="9"/>
      <c r="I2" s="8" t="s">
        <v>3</v>
      </c>
      <c r="J2" s="9"/>
      <c r="K2" s="10" t="s">
        <v>4</v>
      </c>
      <c r="L2" s="10"/>
      <c r="M2" s="10"/>
      <c r="N2" s="10"/>
      <c r="O2" s="11" t="s">
        <v>5</v>
      </c>
      <c r="P2" s="11"/>
      <c r="Q2" s="11"/>
      <c r="R2" s="11"/>
      <c r="S2" s="1"/>
      <c r="T2" s="1"/>
      <c r="U2" s="1"/>
      <c r="V2" s="1"/>
    </row>
    <row r="3" customFormat="false" ht="35.05" hidden="false" customHeight="true" outlineLevel="0" collapsed="false">
      <c r="A3" s="12"/>
      <c r="B3" s="12" t="s">
        <v>6</v>
      </c>
      <c r="C3" s="12"/>
      <c r="D3" s="12"/>
      <c r="E3" s="12"/>
      <c r="F3" s="13" t="s">
        <v>7</v>
      </c>
      <c r="G3" s="12" t="n">
        <v>0</v>
      </c>
      <c r="H3" s="14" t="s">
        <v>8</v>
      </c>
      <c r="I3" s="15" t="s">
        <v>9</v>
      </c>
      <c r="J3" s="16"/>
      <c r="K3" s="17" t="s">
        <v>10</v>
      </c>
      <c r="L3" s="17"/>
      <c r="M3" s="17"/>
      <c r="N3" s="17"/>
      <c r="O3" s="18" t="s">
        <v>11</v>
      </c>
      <c r="P3" s="18"/>
      <c r="Q3" s="19"/>
      <c r="R3" s="20" t="n">
        <f aca="false">G5-G53</f>
        <v>173489.095002538</v>
      </c>
      <c r="S3" s="21" t="n">
        <v>0.02</v>
      </c>
      <c r="T3" s="22" t="s">
        <v>12</v>
      </c>
      <c r="U3" s="23"/>
      <c r="V3" s="24"/>
    </row>
    <row r="4" customFormat="false" ht="33.55" hidden="false" customHeight="true" outlineLevel="0" collapsed="false">
      <c r="A4" s="12"/>
      <c r="B4" s="12" t="s">
        <v>13</v>
      </c>
      <c r="C4" s="12"/>
      <c r="D4" s="12"/>
      <c r="E4" s="12"/>
      <c r="F4" s="13" t="s">
        <v>14</v>
      </c>
      <c r="G4" s="25" t="n">
        <f aca="false">+J6</f>
        <v>8</v>
      </c>
      <c r="H4" s="14" t="s">
        <v>8</v>
      </c>
      <c r="I4" s="15"/>
      <c r="J4" s="26" t="n">
        <v>0.2</v>
      </c>
      <c r="K4" s="12"/>
      <c r="L4" s="12"/>
      <c r="M4" s="12"/>
      <c r="N4" s="12"/>
      <c r="O4" s="18" t="s">
        <v>15</v>
      </c>
      <c r="P4" s="18"/>
      <c r="Q4" s="27"/>
      <c r="R4" s="28" t="n">
        <f aca="false">+SUM(C13:C113)</f>
        <v>8674454.75885642</v>
      </c>
      <c r="S4" s="29" t="n">
        <f aca="false">+R4*100/G5</f>
        <v>61.9603911346887</v>
      </c>
      <c r="T4" s="30" t="s">
        <v>16</v>
      </c>
      <c r="U4" s="12"/>
      <c r="V4" s="24"/>
    </row>
    <row r="5" customFormat="false" ht="21" hidden="false" customHeight="true" outlineLevel="0" collapsed="false">
      <c r="A5" s="12"/>
      <c r="B5" s="12" t="s">
        <v>17</v>
      </c>
      <c r="C5" s="12"/>
      <c r="D5" s="12"/>
      <c r="E5" s="12"/>
      <c r="F5" s="31" t="s">
        <v>18</v>
      </c>
      <c r="G5" s="32" t="n">
        <v>14000000</v>
      </c>
      <c r="H5" s="14"/>
      <c r="I5" s="33" t="s">
        <v>19</v>
      </c>
      <c r="J5" s="34"/>
      <c r="K5" s="35" t="n">
        <f aca="false">+J4*J6</f>
        <v>1.6</v>
      </c>
      <c r="L5" s="36" t="s">
        <v>20</v>
      </c>
      <c r="M5" s="36"/>
      <c r="N5" s="12"/>
      <c r="O5" s="37" t="s">
        <v>21</v>
      </c>
      <c r="P5" s="37"/>
      <c r="Q5" s="37"/>
      <c r="R5" s="38"/>
      <c r="S5" s="34"/>
      <c r="T5" s="12"/>
      <c r="U5" s="12"/>
      <c r="V5" s="39"/>
    </row>
    <row r="6" customFormat="false" ht="35.8" hidden="false" customHeight="true" outlineLevel="0" collapsed="false">
      <c r="A6" s="12"/>
      <c r="B6" s="12"/>
      <c r="C6" s="12"/>
      <c r="D6" s="12"/>
      <c r="E6" s="12"/>
      <c r="F6" s="13"/>
      <c r="G6" s="12"/>
      <c r="H6" s="14"/>
      <c r="I6" s="33"/>
      <c r="J6" s="40" t="n">
        <v>8</v>
      </c>
      <c r="K6" s="41" t="s">
        <v>22</v>
      </c>
      <c r="L6" s="41"/>
      <c r="M6" s="41"/>
      <c r="N6" s="41"/>
      <c r="O6" s="37"/>
      <c r="P6" s="37"/>
      <c r="Q6" s="37"/>
      <c r="R6" s="42" t="n">
        <f aca="false">MAX(C13:C113)</f>
        <v>1137175.62390903</v>
      </c>
      <c r="S6" s="43" t="n">
        <f aca="false">100*R6/G5</f>
        <v>8.12268302792161</v>
      </c>
      <c r="T6" s="30" t="s">
        <v>16</v>
      </c>
      <c r="U6" s="12"/>
      <c r="V6" s="24"/>
    </row>
    <row r="7" customFormat="false" ht="23.85" hidden="false" customHeight="true" outlineLevel="0" collapsed="false">
      <c r="A7" s="12"/>
      <c r="B7" s="12" t="s">
        <v>23</v>
      </c>
      <c r="C7" s="12"/>
      <c r="D7" s="12"/>
      <c r="E7" s="12"/>
      <c r="F7" s="13" t="s">
        <v>24</v>
      </c>
      <c r="G7" s="44" t="n">
        <v>140000</v>
      </c>
      <c r="H7" s="12"/>
      <c r="I7" s="15"/>
      <c r="J7" s="45"/>
      <c r="K7" s="46" t="s">
        <v>25</v>
      </c>
      <c r="L7" s="46"/>
      <c r="M7" s="46"/>
      <c r="N7" s="46"/>
      <c r="O7" s="47" t="s">
        <v>26</v>
      </c>
      <c r="P7" s="47"/>
      <c r="Q7" s="47"/>
      <c r="R7" s="38"/>
      <c r="S7" s="12"/>
      <c r="T7" s="12"/>
      <c r="U7" s="12"/>
      <c r="V7" s="39"/>
    </row>
    <row r="8" customFormat="false" ht="32.8" hidden="false" customHeight="true" outlineLevel="0" collapsed="false">
      <c r="A8" s="12"/>
      <c r="B8" s="12"/>
      <c r="C8" s="12"/>
      <c r="D8" s="12"/>
      <c r="E8" s="12"/>
      <c r="F8" s="34"/>
      <c r="G8" s="48"/>
      <c r="H8" s="14"/>
      <c r="I8" s="15"/>
      <c r="J8" s="49"/>
      <c r="K8" s="50" t="s">
        <v>27</v>
      </c>
      <c r="L8" s="50"/>
      <c r="M8" s="50"/>
      <c r="N8" s="50"/>
      <c r="O8" s="47"/>
      <c r="P8" s="47"/>
      <c r="Q8" s="47"/>
      <c r="R8" s="51" t="n">
        <f aca="false">MATCH(R6,C13:C113,0)*J$6-J$6</f>
        <v>56</v>
      </c>
      <c r="S8" s="12"/>
      <c r="T8" s="12"/>
      <c r="U8" s="12"/>
      <c r="V8" s="24"/>
    </row>
    <row r="9" customFormat="false" ht="26.85" hidden="false" customHeight="true" outlineLevel="0" collapsed="false">
      <c r="A9" s="12"/>
      <c r="B9" s="12" t="s">
        <v>28</v>
      </c>
      <c r="C9" s="12"/>
      <c r="D9" s="12"/>
      <c r="E9" s="12"/>
      <c r="F9" s="52" t="s">
        <v>29</v>
      </c>
      <c r="G9" s="48"/>
      <c r="H9" s="12" t="n">
        <f aca="false">+G5*J10/100</f>
        <v>700000</v>
      </c>
      <c r="I9" s="15" t="s">
        <v>30</v>
      </c>
      <c r="J9" s="53"/>
      <c r="K9" s="12" t="s">
        <v>31</v>
      </c>
      <c r="L9" s="12"/>
      <c r="M9" s="12"/>
      <c r="N9" s="12"/>
      <c r="O9" s="54" t="s">
        <v>32</v>
      </c>
      <c r="P9" s="54"/>
      <c r="Q9" s="55"/>
      <c r="R9" s="56" t="n">
        <f aca="false">R6*S9</f>
        <v>11371.7562390903</v>
      </c>
      <c r="S9" s="57" t="n">
        <v>0.01</v>
      </c>
      <c r="T9" s="12"/>
      <c r="U9" s="12"/>
      <c r="V9" s="58"/>
    </row>
    <row r="10" customFormat="false" ht="33.55" hidden="false" customHeight="true" outlineLevel="0" collapsed="false">
      <c r="A10" s="12"/>
      <c r="B10" s="59" t="s">
        <v>33</v>
      </c>
      <c r="C10" s="59"/>
      <c r="D10" s="59"/>
      <c r="E10" s="59"/>
      <c r="F10" s="60" t="s">
        <v>34</v>
      </c>
      <c r="G10" s="59"/>
      <c r="H10" s="61" t="n">
        <f aca="false">+G5-G7-H9</f>
        <v>13160000</v>
      </c>
      <c r="I10" s="15"/>
      <c r="J10" s="26" t="n">
        <v>5</v>
      </c>
      <c r="K10" s="62" t="s">
        <v>35</v>
      </c>
      <c r="L10" s="62"/>
      <c r="M10" s="62"/>
      <c r="N10" s="62"/>
      <c r="O10" s="54"/>
      <c r="P10" s="54"/>
      <c r="Q10" s="63"/>
      <c r="R10" s="63"/>
      <c r="S10" s="55"/>
      <c r="T10" s="12"/>
      <c r="U10" s="12"/>
      <c r="V10" s="58"/>
    </row>
    <row r="11" customFormat="false" ht="15.75" hidden="false" customHeight="false" outlineLevel="0" collapsed="false">
      <c r="A11" s="1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1"/>
      <c r="T11" s="1"/>
      <c r="U11" s="1"/>
      <c r="V11" s="1"/>
    </row>
    <row r="12" customFormat="false" ht="13.8" hidden="false" customHeight="true" outlineLevel="0" collapsed="false">
      <c r="A12" s="1"/>
      <c r="B12" s="65" t="s">
        <v>36</v>
      </c>
      <c r="C12" s="66" t="s">
        <v>24</v>
      </c>
      <c r="D12" s="67" t="s">
        <v>29</v>
      </c>
      <c r="E12" s="68" t="s">
        <v>37</v>
      </c>
      <c r="F12" s="69" t="s">
        <v>34</v>
      </c>
      <c r="G12" s="70" t="s">
        <v>38</v>
      </c>
      <c r="H12" s="71" t="s">
        <v>39</v>
      </c>
      <c r="I12" s="72" t="s">
        <v>40</v>
      </c>
      <c r="J12" s="7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customFormat="false" ht="13.8" hidden="false" customHeight="false" outlineLevel="0" collapsed="false">
      <c r="A13" s="1"/>
      <c r="B13" s="74" t="n">
        <f aca="false">$G$3</f>
        <v>0</v>
      </c>
      <c r="C13" s="75" t="n">
        <f aca="false">+G7</f>
        <v>140000</v>
      </c>
      <c r="D13" s="76" t="n">
        <f aca="false">+H9</f>
        <v>700000</v>
      </c>
      <c r="E13" s="77" t="n">
        <f aca="false">D13*100/G13</f>
        <v>5</v>
      </c>
      <c r="F13" s="78" t="n">
        <f aca="false">+H10</f>
        <v>13160000</v>
      </c>
      <c r="G13" s="78" t="n">
        <f aca="false">+D13+F13+C13</f>
        <v>14000000</v>
      </c>
      <c r="H13" s="79" t="n">
        <f aca="false">K$5*F13/G13</f>
        <v>1.504</v>
      </c>
      <c r="I13" s="72"/>
      <c r="J13" s="73"/>
      <c r="K13" s="1"/>
      <c r="L13" s="1"/>
      <c r="M13" s="1"/>
      <c r="N13" s="1"/>
      <c r="O13" s="1"/>
      <c r="P13" s="1"/>
      <c r="Q13" s="80"/>
      <c r="R13" s="1"/>
      <c r="S13" s="1"/>
      <c r="T13" s="1"/>
      <c r="U13" s="1"/>
      <c r="V13" s="1"/>
    </row>
    <row r="14" customFormat="false" ht="13.8" hidden="false" customHeight="false" outlineLevel="0" collapsed="false">
      <c r="A14" s="1"/>
      <c r="B14" s="81" t="n">
        <f aca="false">+B13+J$6</f>
        <v>8</v>
      </c>
      <c r="C14" s="82" t="n">
        <f aca="false">+C13*J$4*J$6*F13/G13</f>
        <v>210560</v>
      </c>
      <c r="D14" s="83" t="n">
        <f aca="false">D13+C13</f>
        <v>840000</v>
      </c>
      <c r="E14" s="77" t="n">
        <f aca="false">D14*100/G14</f>
        <v>6.00120024004801</v>
      </c>
      <c r="F14" s="81" t="n">
        <f aca="false">F13-C14</f>
        <v>12949440</v>
      </c>
      <c r="G14" s="78" t="n">
        <f aca="false">G13-C13*S$3</f>
        <v>13997200</v>
      </c>
      <c r="H14" s="79" t="n">
        <f aca="false">K$5*F14/G14</f>
        <v>1.48023204640928</v>
      </c>
      <c r="I14" s="72"/>
      <c r="J14" s="73"/>
      <c r="K14" s="1"/>
      <c r="L14" s="1"/>
      <c r="M14" s="1"/>
      <c r="N14" s="1"/>
      <c r="O14" s="1"/>
      <c r="P14" s="1"/>
      <c r="Q14" s="80"/>
      <c r="R14" s="1"/>
      <c r="S14" s="1"/>
      <c r="T14" s="1"/>
      <c r="U14" s="1"/>
      <c r="V14" s="1"/>
    </row>
    <row r="15" customFormat="false" ht="13.8" hidden="false" customHeight="false" outlineLevel="0" collapsed="false">
      <c r="A15" s="1"/>
      <c r="B15" s="81" t="n">
        <f aca="false">+B14+J$6</f>
        <v>16</v>
      </c>
      <c r="C15" s="82" t="n">
        <f aca="false">+C14*J$4*J$6*F14/G14</f>
        <v>311677.659691938</v>
      </c>
      <c r="D15" s="83" t="n">
        <f aca="false">D14+C14</f>
        <v>1050560</v>
      </c>
      <c r="E15" s="77" t="n">
        <f aca="false">D15*100/G15</f>
        <v>7.50775988615098</v>
      </c>
      <c r="F15" s="81" t="n">
        <f aca="false">F14-C15</f>
        <v>12637762.3403081</v>
      </c>
      <c r="G15" s="78" t="n">
        <f aca="false">G14-C14*S$3</f>
        <v>13992988.8</v>
      </c>
      <c r="H15" s="79" t="n">
        <f aca="false">K$5*F15/G15</f>
        <v>1.44503937175258</v>
      </c>
      <c r="I15" s="72"/>
      <c r="J15" s="73"/>
      <c r="K15" s="1"/>
      <c r="L15" s="1"/>
      <c r="M15" s="1"/>
      <c r="N15" s="1"/>
      <c r="O15" s="1"/>
      <c r="P15" s="1"/>
      <c r="Q15" s="80"/>
      <c r="R15" s="1"/>
      <c r="S15" s="1"/>
      <c r="T15" s="1"/>
      <c r="U15" s="1"/>
      <c r="V15" s="1"/>
    </row>
    <row r="16" customFormat="false" ht="13.8" hidden="false" customHeight="false" outlineLevel="0" collapsed="false">
      <c r="A16" s="1"/>
      <c r="B16" s="81" t="n">
        <f aca="false">+B15+J$6</f>
        <v>24</v>
      </c>
      <c r="C16" s="82" t="n">
        <f aca="false">+C15*J$4*J$6*F15/G15</f>
        <v>450386.489550553</v>
      </c>
      <c r="D16" s="83" t="n">
        <f aca="false">D15+C15</f>
        <v>1362237.65969194</v>
      </c>
      <c r="E16" s="77" t="n">
        <f aca="false">D16*100/G16</f>
        <v>9.7394830727663</v>
      </c>
      <c r="F16" s="81" t="n">
        <f aca="false">F15-C16</f>
        <v>12187375.8507575</v>
      </c>
      <c r="G16" s="78" t="n">
        <f aca="false">G15-C15*S$3</f>
        <v>13986755.2468062</v>
      </c>
      <c r="H16" s="79" t="n">
        <f aca="false">K$5*F16/G16</f>
        <v>1.39416190654117</v>
      </c>
      <c r="I16" s="72"/>
      <c r="J16" s="73"/>
      <c r="K16" s="1"/>
      <c r="L16" s="1"/>
      <c r="M16" s="1"/>
      <c r="N16" s="1"/>
      <c r="O16" s="1"/>
      <c r="P16" s="1"/>
      <c r="Q16" s="80"/>
      <c r="R16" s="1"/>
      <c r="S16" s="84"/>
      <c r="T16" s="1"/>
      <c r="U16" s="1"/>
      <c r="V16" s="1"/>
    </row>
    <row r="17" customFormat="false" ht="13.8" hidden="false" customHeight="false" outlineLevel="0" collapsed="false">
      <c r="A17" s="1"/>
      <c r="B17" s="81" t="n">
        <f aca="false">+B16+J$6</f>
        <v>32</v>
      </c>
      <c r="C17" s="82" t="n">
        <f aca="false">+C16*J$4*J$6*F16/G16</f>
        <v>627911.686952185</v>
      </c>
      <c r="D17" s="83" t="n">
        <f aca="false">D16+C16</f>
        <v>1812624.14924249</v>
      </c>
      <c r="E17" s="77" t="n">
        <f aca="false">D17*100/G17</f>
        <v>12.9679273934229</v>
      </c>
      <c r="F17" s="81" t="n">
        <f aca="false">F16-C17</f>
        <v>11559464.1638053</v>
      </c>
      <c r="G17" s="78" t="n">
        <f aca="false">G16-C16*S$3</f>
        <v>13977747.5170151</v>
      </c>
      <c r="H17" s="79" t="n">
        <f aca="false">K$5*F17/G17</f>
        <v>1.32318477205103</v>
      </c>
      <c r="I17" s="72"/>
      <c r="J17" s="73"/>
      <c r="K17" s="1"/>
      <c r="L17" s="1"/>
      <c r="M17" s="1"/>
      <c r="N17" s="1"/>
      <c r="O17" s="1"/>
      <c r="P17" s="1"/>
      <c r="Q17" s="80"/>
      <c r="R17" s="1"/>
      <c r="S17" s="84"/>
      <c r="T17" s="1"/>
      <c r="U17" s="1"/>
      <c r="V17" s="1"/>
    </row>
    <row r="18" customFormat="false" ht="13.8" hidden="false" customHeight="false" outlineLevel="0" collapsed="false">
      <c r="A18" s="1"/>
      <c r="B18" s="81" t="n">
        <f aca="false">+B17+J$6</f>
        <v>40</v>
      </c>
      <c r="C18" s="82" t="n">
        <f aca="false">+C17*J$4*J$6*F17/G17</f>
        <v>830843.182368003</v>
      </c>
      <c r="D18" s="83" t="n">
        <f aca="false">D17+C17</f>
        <v>2440535.83619468</v>
      </c>
      <c r="E18" s="77" t="n">
        <f aca="false">D18*100/G18</f>
        <v>17.475852182808</v>
      </c>
      <c r="F18" s="81" t="n">
        <f aca="false">F17-C18</f>
        <v>10728620.9814373</v>
      </c>
      <c r="G18" s="78" t="n">
        <f aca="false">G17-C17*S$3</f>
        <v>13965189.2832761</v>
      </c>
      <c r="H18" s="79" t="n">
        <f aca="false">K$5*F18/G18</f>
        <v>1.2291844544389</v>
      </c>
      <c r="I18" s="72"/>
      <c r="J18" s="73"/>
      <c r="K18" s="1"/>
      <c r="L18" s="1"/>
      <c r="M18" s="1"/>
      <c r="N18" s="1"/>
      <c r="O18" s="1"/>
      <c r="P18" s="1"/>
      <c r="Q18" s="80"/>
      <c r="R18" s="1"/>
      <c r="S18" s="1"/>
      <c r="T18" s="1"/>
      <c r="U18" s="1"/>
      <c r="V18" s="1"/>
    </row>
    <row r="19" customFormat="false" ht="13.8" hidden="false" customHeight="false" outlineLevel="0" collapsed="false">
      <c r="A19" s="1"/>
      <c r="B19" s="81" t="n">
        <f aca="false">+B18+J$6</f>
        <v>48</v>
      </c>
      <c r="C19" s="82" t="n">
        <f aca="false">+C18*J$4*J$6*F18/G18</f>
        <v>1021259.52384329</v>
      </c>
      <c r="D19" s="83" t="n">
        <f aca="false">D18+C18</f>
        <v>3271379.01856268</v>
      </c>
      <c r="E19" s="77" t="n">
        <f aca="false">D19*100/G19</f>
        <v>23.4531457424211</v>
      </c>
      <c r="F19" s="81" t="n">
        <f aca="false">F18-C19</f>
        <v>9707361.45759403</v>
      </c>
      <c r="G19" s="78" t="n">
        <f aca="false">G18-C18*S$3</f>
        <v>13948572.4196287</v>
      </c>
      <c r="H19" s="79" t="n">
        <f aca="false">K$5*F19/G19</f>
        <v>1.1135030786587</v>
      </c>
      <c r="I19" s="72"/>
      <c r="J19" s="73"/>
      <c r="K19" s="1"/>
      <c r="L19" s="1"/>
      <c r="M19" s="1"/>
      <c r="N19" s="1"/>
      <c r="O19" s="1"/>
      <c r="P19" s="1"/>
      <c r="Q19" s="80"/>
      <c r="R19" s="1"/>
      <c r="S19" s="1"/>
      <c r="T19" s="1"/>
      <c r="U19" s="1"/>
      <c r="V19" s="1"/>
    </row>
    <row r="20" customFormat="false" ht="13.8" hidden="false" customHeight="false" outlineLevel="0" collapsed="false">
      <c r="A20" s="1"/>
      <c r="B20" s="81" t="n">
        <f aca="false">+B19+J$6</f>
        <v>56</v>
      </c>
      <c r="C20" s="82" t="n">
        <f aca="false">+C19*J$4*J$6*F19/G19</f>
        <v>1137175.62390903</v>
      </c>
      <c r="D20" s="83" t="n">
        <f aca="false">D19+C19</f>
        <v>4292638.54240597</v>
      </c>
      <c r="E20" s="77" t="n">
        <f aca="false">D20*100/G20</f>
        <v>30.8198820114523</v>
      </c>
      <c r="F20" s="81" t="n">
        <f aca="false">F19-C20</f>
        <v>8570185.833685</v>
      </c>
      <c r="G20" s="78" t="n">
        <f aca="false">G19-C19*S$3</f>
        <v>13928147.2291519</v>
      </c>
      <c r="H20" s="79" t="n">
        <f aca="false">K$5*F20/G20</f>
        <v>0.984502612464916</v>
      </c>
      <c r="I20" s="72"/>
      <c r="J20" s="73"/>
      <c r="K20" s="1"/>
      <c r="L20" s="1"/>
      <c r="M20" s="1"/>
      <c r="N20" s="1"/>
      <c r="O20" s="1"/>
      <c r="P20" s="1"/>
      <c r="Q20" s="80"/>
      <c r="R20" s="1"/>
      <c r="S20" s="1"/>
      <c r="T20" s="1"/>
      <c r="U20" s="1"/>
      <c r="V20" s="1"/>
    </row>
    <row r="21" customFormat="false" ht="13.8" hidden="false" customHeight="false" outlineLevel="0" collapsed="false">
      <c r="A21" s="1"/>
      <c r="B21" s="81" t="n">
        <f aca="false">+B20+J$6</f>
        <v>64</v>
      </c>
      <c r="C21" s="82" t="n">
        <f aca="false">+C20*J$4*J$6*F20/G20</f>
        <v>1119552.37256986</v>
      </c>
      <c r="D21" s="83" t="n">
        <f aca="false">D20+C20</f>
        <v>5429814.166315</v>
      </c>
      <c r="E21" s="77" t="n">
        <f aca="false">D21*100/G21</f>
        <v>39.0482310111156</v>
      </c>
      <c r="F21" s="81" t="n">
        <f aca="false">F20-C21</f>
        <v>7450633.46111515</v>
      </c>
      <c r="G21" s="78" t="n">
        <f aca="false">G20-C20*S$3</f>
        <v>13905403.7166737</v>
      </c>
      <c r="H21" s="79" t="n">
        <f aca="false">K$5*F21/G21</f>
        <v>0.857293594682906</v>
      </c>
      <c r="I21" s="72"/>
      <c r="J21" s="73"/>
      <c r="K21" s="1"/>
      <c r="L21" s="1"/>
      <c r="M21" s="1"/>
      <c r="N21" s="1"/>
      <c r="O21" s="1"/>
      <c r="P21" s="1"/>
      <c r="Q21" s="80"/>
      <c r="R21" s="1"/>
      <c r="S21" s="1"/>
      <c r="T21" s="1"/>
      <c r="U21" s="1"/>
      <c r="V21" s="1"/>
    </row>
    <row r="22" customFormat="false" ht="13.8" hidden="false" customHeight="false" outlineLevel="0" collapsed="false">
      <c r="A22" s="1"/>
      <c r="B22" s="81" t="n">
        <f aca="false">+B21+J$6</f>
        <v>72</v>
      </c>
      <c r="C22" s="82" t="n">
        <f aca="false">+C21*J$4*J$6*F21/G21</f>
        <v>959785.077916188</v>
      </c>
      <c r="D22" s="83" t="n">
        <f aca="false">D21+C21</f>
        <v>6549366.53888486</v>
      </c>
      <c r="E22" s="77" t="n">
        <f aca="false">D22*100/G22</f>
        <v>47.1753984162555</v>
      </c>
      <c r="F22" s="81" t="n">
        <f aca="false">F21-C22</f>
        <v>6490848.38319896</v>
      </c>
      <c r="G22" s="78" t="n">
        <f aca="false">G21-C21*S$3</f>
        <v>13883012.6692223</v>
      </c>
      <c r="H22" s="79" t="n">
        <f aca="false">K$5*F22/G22</f>
        <v>0.748062229759537</v>
      </c>
      <c r="I22" s="72"/>
      <c r="J22" s="73"/>
      <c r="K22" s="1"/>
      <c r="L22" s="1"/>
      <c r="M22" s="1"/>
      <c r="N22" s="1"/>
      <c r="O22" s="1"/>
      <c r="P22" s="1"/>
      <c r="Q22" s="80"/>
      <c r="R22" s="1"/>
      <c r="S22" s="1"/>
      <c r="T22" s="1"/>
      <c r="U22" s="1"/>
      <c r="V22" s="1"/>
    </row>
    <row r="23" customFormat="false" ht="13.8" hidden="false" customHeight="false" outlineLevel="0" collapsed="false">
      <c r="A23" s="1"/>
      <c r="B23" s="81" t="n">
        <f aca="false">+B22+J$6</f>
        <v>80</v>
      </c>
      <c r="C23" s="82" t="n">
        <f aca="false">+C22*J$4*J$6*F22/G22</f>
        <v>717978.965475914</v>
      </c>
      <c r="D23" s="83" t="n">
        <f aca="false">D22+C22</f>
        <v>7509151.61680104</v>
      </c>
      <c r="E23" s="77" t="n">
        <f aca="false">D23*100/G23</f>
        <v>54.1636667183029</v>
      </c>
      <c r="F23" s="81" t="n">
        <f aca="false">F22-C23</f>
        <v>5772869.41772304</v>
      </c>
      <c r="G23" s="78" t="n">
        <f aca="false">G22-C22*S$3</f>
        <v>13863816.967664</v>
      </c>
      <c r="H23" s="79" t="n">
        <f aca="false">K$5*F23/G23</f>
        <v>0.666237233937835</v>
      </c>
      <c r="I23" s="73"/>
      <c r="J23" s="73"/>
      <c r="K23" s="1"/>
      <c r="L23" s="1"/>
      <c r="M23" s="1"/>
      <c r="N23" s="1"/>
      <c r="O23" s="1"/>
      <c r="P23" s="1"/>
      <c r="Q23" s="80"/>
      <c r="R23" s="1"/>
      <c r="S23" s="1"/>
      <c r="T23" s="1"/>
      <c r="U23" s="1"/>
      <c r="V23" s="1"/>
    </row>
    <row r="24" customFormat="false" ht="13.8" hidden="false" customHeight="false" outlineLevel="0" collapsed="false">
      <c r="A24" s="1"/>
      <c r="B24" s="81" t="n">
        <f aca="false">+B23+J$6</f>
        <v>88</v>
      </c>
      <c r="C24" s="82" t="n">
        <f aca="false">+C23*J$4*J$6*F23/G23</f>
        <v>478344.319984221</v>
      </c>
      <c r="D24" s="83" t="n">
        <f aca="false">D23+C23</f>
        <v>8227130.58227696</v>
      </c>
      <c r="E24" s="77" t="n">
        <f aca="false">D24*100/G24</f>
        <v>59.4039921679161</v>
      </c>
      <c r="F24" s="81" t="n">
        <f aca="false">F23-C24</f>
        <v>5294525.09773882</v>
      </c>
      <c r="G24" s="78" t="n">
        <f aca="false">G23-C23*S$3</f>
        <v>13849457.3883545</v>
      </c>
      <c r="H24" s="79" t="n">
        <f aca="false">K$5*F24/G24</f>
        <v>0.61166585223081</v>
      </c>
      <c r="I24" s="73"/>
      <c r="J24" s="73"/>
      <c r="K24" s="1"/>
      <c r="L24" s="1"/>
      <c r="M24" s="1"/>
      <c r="N24" s="1"/>
      <c r="O24" s="1"/>
      <c r="P24" s="1"/>
      <c r="Q24" s="80"/>
      <c r="R24" s="1"/>
      <c r="S24" s="1"/>
      <c r="T24" s="1"/>
      <c r="U24" s="1"/>
      <c r="V24" s="1"/>
    </row>
    <row r="25" customFormat="false" ht="13.8" hidden="false" customHeight="false" outlineLevel="0" collapsed="false">
      <c r="A25" s="1"/>
      <c r="B25" s="81" t="n">
        <f aca="false">+B24+J$6</f>
        <v>96</v>
      </c>
      <c r="C25" s="82" t="n">
        <f aca="false">+C24*J$4*J$6*F24/G24</f>
        <v>292586.886142916</v>
      </c>
      <c r="D25" s="83" t="n">
        <f aca="false">D24+C24</f>
        <v>8705474.90226118</v>
      </c>
      <c r="E25" s="77" t="n">
        <f aca="false">D25*100/G25</f>
        <v>62.9013278756187</v>
      </c>
      <c r="F25" s="81" t="n">
        <f aca="false">F24-C25</f>
        <v>5001938.21159591</v>
      </c>
      <c r="G25" s="78" t="n">
        <f aca="false">G24-C24*S$3</f>
        <v>13839890.5019548</v>
      </c>
      <c r="H25" s="79" t="n">
        <f aca="false">K$5*F25/G25</f>
        <v>0.578263327836523</v>
      </c>
      <c r="I25" s="73"/>
      <c r="J25" s="73"/>
      <c r="K25" s="1"/>
      <c r="L25" s="1"/>
      <c r="M25" s="1"/>
      <c r="N25" s="1"/>
      <c r="O25" s="1"/>
      <c r="P25" s="1"/>
      <c r="Q25" s="80"/>
      <c r="R25" s="1"/>
      <c r="S25" s="1"/>
      <c r="T25" s="1"/>
      <c r="U25" s="1"/>
      <c r="V25" s="1"/>
    </row>
    <row r="26" customFormat="false" ht="13.8" hidden="false" customHeight="false" outlineLevel="0" collapsed="false">
      <c r="A26" s="1"/>
      <c r="B26" s="81" t="n">
        <f aca="false">+B25+J$6</f>
        <v>104</v>
      </c>
      <c r="C26" s="82" t="n">
        <f aca="false">+C25*J$4*J$6*F25/G25</f>
        <v>169192.266462328</v>
      </c>
      <c r="D26" s="83" t="n">
        <f aca="false">D25+C25</f>
        <v>8998061.78840409</v>
      </c>
      <c r="E26" s="77" t="n">
        <f aca="false">D26*100/G26</f>
        <v>65.0429129320405</v>
      </c>
      <c r="F26" s="81" t="n">
        <f aca="false">F25-C26</f>
        <v>4832745.94513358</v>
      </c>
      <c r="G26" s="78" t="n">
        <f aca="false">G25-C25*S$3</f>
        <v>13834038.7642319</v>
      </c>
      <c r="H26" s="79" t="n">
        <f aca="false">K$5*F26/G26</f>
        <v>0.558939702569428</v>
      </c>
      <c r="I26" s="73"/>
      <c r="J26" s="73"/>
      <c r="K26" s="1"/>
      <c r="L26" s="1"/>
      <c r="M26" s="1"/>
      <c r="N26" s="1"/>
      <c r="O26" s="1"/>
      <c r="P26" s="1"/>
      <c r="Q26" s="80"/>
      <c r="R26" s="1"/>
      <c r="S26" s="1"/>
      <c r="T26" s="1"/>
      <c r="U26" s="1"/>
      <c r="V26" s="1"/>
    </row>
    <row r="27" customFormat="false" ht="13.8" hidden="false" customHeight="false" outlineLevel="0" collapsed="false">
      <c r="A27" s="1"/>
      <c r="B27" s="81" t="n">
        <f aca="false">+B26+J$6</f>
        <v>112</v>
      </c>
      <c r="C27" s="82" t="n">
        <f aca="false">+C26*J$4*J$6*F26/G26</f>
        <v>94568.2750935012</v>
      </c>
      <c r="D27" s="83" t="n">
        <f aca="false">D26+C26</f>
        <v>9167254.05486642</v>
      </c>
      <c r="E27" s="77" t="n">
        <f aca="false">D27*100/G27</f>
        <v>66.2821399898954</v>
      </c>
      <c r="F27" s="81" t="n">
        <f aca="false">F26-C27</f>
        <v>4738177.67004008</v>
      </c>
      <c r="G27" s="78" t="n">
        <f aca="false">G26-C26*S$3</f>
        <v>13830654.9189027</v>
      </c>
      <c r="H27" s="79" t="n">
        <f aca="false">K$5*F27/G27</f>
        <v>0.548136318671568</v>
      </c>
      <c r="I27" s="73"/>
      <c r="J27" s="73"/>
      <c r="K27" s="1"/>
      <c r="L27" s="1"/>
      <c r="M27" s="1"/>
      <c r="N27" s="1"/>
      <c r="O27" s="1"/>
      <c r="P27" s="1"/>
      <c r="Q27" s="80"/>
      <c r="R27" s="1"/>
      <c r="S27" s="1"/>
      <c r="T27" s="1"/>
      <c r="U27" s="1"/>
      <c r="V27" s="1"/>
    </row>
    <row r="28" customFormat="false" ht="13.8" hidden="false" customHeight="false" outlineLevel="0" collapsed="false">
      <c r="A28" s="1"/>
      <c r="B28" s="81" t="n">
        <f aca="false">+B27+J$6</f>
        <v>120</v>
      </c>
      <c r="C28" s="82" t="n">
        <f aca="false">+C27*J$4*J$6*F27/G27</f>
        <v>51836.3061728719</v>
      </c>
      <c r="D28" s="83" t="n">
        <f aca="false">D27+C27</f>
        <v>9261822.32995992</v>
      </c>
      <c r="E28" s="77" t="n">
        <f aca="false">D28*100/G28</f>
        <v>66.975057417062</v>
      </c>
      <c r="F28" s="81" t="n">
        <f aca="false">F27-C28</f>
        <v>4686341.3638672</v>
      </c>
      <c r="G28" s="78" t="n">
        <f aca="false">G27-C27*S$3</f>
        <v>13828763.5534008</v>
      </c>
      <c r="H28" s="79" t="n">
        <f aca="false">K$5*F28/G28</f>
        <v>0.542213781675627</v>
      </c>
      <c r="I28" s="73"/>
      <c r="J28" s="73"/>
      <c r="K28" s="1"/>
      <c r="L28" s="1"/>
      <c r="M28" s="1"/>
      <c r="N28" s="1"/>
      <c r="O28" s="1"/>
      <c r="P28" s="1"/>
      <c r="Q28" s="80"/>
      <c r="R28" s="1"/>
      <c r="S28" s="1"/>
      <c r="T28" s="1"/>
      <c r="U28" s="1"/>
      <c r="V28" s="1"/>
    </row>
    <row r="29" customFormat="false" ht="13.8" hidden="false" customHeight="false" outlineLevel="0" collapsed="false">
      <c r="A29" s="1"/>
      <c r="B29" s="81" t="n">
        <f aca="false">+B28+J$6</f>
        <v>128</v>
      </c>
      <c r="C29" s="82" t="n">
        <f aca="false">+C28*J$4*J$6*F28/G28</f>
        <v>28106.3595980885</v>
      </c>
      <c r="D29" s="83" t="n">
        <f aca="false">D28+C28</f>
        <v>9313658.63613279</v>
      </c>
      <c r="E29" s="77" t="n">
        <f aca="false">D29*100/G29</f>
        <v>67.3549510521147</v>
      </c>
      <c r="F29" s="81" t="n">
        <f aca="false">F28-C29</f>
        <v>4658235.00426912</v>
      </c>
      <c r="G29" s="78" t="n">
        <f aca="false">G28-C28*S$3</f>
        <v>13827726.8272773</v>
      </c>
      <c r="H29" s="79" t="n">
        <f aca="false">K$5*F29/G29</f>
        <v>0.539002259729925</v>
      </c>
      <c r="I29" s="73"/>
      <c r="J29" s="73"/>
      <c r="K29" s="1"/>
      <c r="L29" s="1"/>
      <c r="M29" s="1"/>
      <c r="N29" s="1"/>
      <c r="O29" s="1"/>
      <c r="P29" s="1"/>
      <c r="Q29" s="80"/>
      <c r="R29" s="1"/>
      <c r="S29" s="1"/>
      <c r="T29" s="1"/>
      <c r="U29" s="1"/>
      <c r="V29" s="1"/>
    </row>
    <row r="30" customFormat="false" ht="13.8" hidden="false" customHeight="false" outlineLevel="0" collapsed="false">
      <c r="A30" s="1"/>
      <c r="B30" s="81" t="n">
        <f aca="false">+B29+J$6</f>
        <v>136</v>
      </c>
      <c r="C30" s="82" t="n">
        <f aca="false">+C29*J$4*J$6*F29/G29</f>
        <v>15149.3913361516</v>
      </c>
      <c r="D30" s="83" t="n">
        <f aca="false">D29+C29</f>
        <v>9341764.99573088</v>
      </c>
      <c r="E30" s="77" t="n">
        <f aca="false">D30*100/G30</f>
        <v>67.5609584347628</v>
      </c>
      <c r="F30" s="81" t="n">
        <f aca="false">F29-C30</f>
        <v>4643085.61293297</v>
      </c>
      <c r="G30" s="78" t="n">
        <f aca="false">G29-C29*S$3</f>
        <v>13827164.7000854</v>
      </c>
      <c r="H30" s="79" t="n">
        <f aca="false">K$5*F30/G30</f>
        <v>0.537271171771525</v>
      </c>
      <c r="I30" s="73"/>
      <c r="J30" s="73"/>
      <c r="K30" s="1"/>
      <c r="L30" s="1"/>
      <c r="M30" s="1"/>
      <c r="N30" s="1"/>
      <c r="O30" s="1"/>
      <c r="P30" s="1"/>
      <c r="Q30" s="80"/>
      <c r="R30" s="1"/>
      <c r="S30" s="85"/>
      <c r="T30" s="1"/>
      <c r="U30" s="1"/>
      <c r="V30" s="1"/>
    </row>
    <row r="31" customFormat="false" ht="13.8" hidden="false" customHeight="false" outlineLevel="0" collapsed="false">
      <c r="A31" s="1"/>
      <c r="B31" s="81" t="n">
        <f aca="false">+B30+J$6</f>
        <v>144</v>
      </c>
      <c r="C31" s="82" t="n">
        <f aca="false">+C30*J$4*J$6*F30/G30</f>
        <v>8139.33123479955</v>
      </c>
      <c r="D31" s="83" t="n">
        <f aca="false">D30+C30</f>
        <v>9356914.38706703</v>
      </c>
      <c r="E31" s="77" t="n">
        <f aca="false">D31*100/G31</f>
        <v>67.672003826952</v>
      </c>
      <c r="F31" s="81" t="n">
        <f aca="false">F30-C31</f>
        <v>4634946.28169817</v>
      </c>
      <c r="G31" s="78" t="n">
        <f aca="false">G30-C30*S$3</f>
        <v>13826861.7122587</v>
      </c>
      <c r="H31" s="79" t="n">
        <f aca="false">K$5*F31/G31</f>
        <v>0.536341087735205</v>
      </c>
      <c r="I31" s="73"/>
      <c r="J31" s="73"/>
      <c r="K31" s="1"/>
      <c r="L31" s="1"/>
      <c r="M31" s="1"/>
      <c r="N31" s="1"/>
      <c r="O31" s="1"/>
      <c r="P31" s="1"/>
      <c r="Q31" s="80"/>
      <c r="R31" s="1"/>
      <c r="S31" s="1"/>
      <c r="T31" s="1"/>
      <c r="U31" s="1"/>
      <c r="V31" s="1"/>
    </row>
    <row r="32" customFormat="false" ht="13.8" hidden="false" customHeight="false" outlineLevel="0" collapsed="false">
      <c r="A32" s="1"/>
      <c r="B32" s="81" t="n">
        <f aca="false">+B31+J$6</f>
        <v>152</v>
      </c>
      <c r="C32" s="82" t="n">
        <f aca="false">+C31*J$4*J$6*F31/G31</f>
        <v>4365.45776790952</v>
      </c>
      <c r="D32" s="83" t="n">
        <f aca="false">D31+C31</f>
        <v>9365053.71830184</v>
      </c>
      <c r="E32" s="77" t="n">
        <f aca="false">D32*100/G32</f>
        <v>67.7316673247258</v>
      </c>
      <c r="F32" s="81" t="n">
        <f aca="false">F31-C32</f>
        <v>4630580.82393026</v>
      </c>
      <c r="G32" s="78" t="n">
        <f aca="false">G31-C31*S$3</f>
        <v>13826698.925634</v>
      </c>
      <c r="H32" s="79" t="n">
        <f aca="false">K$5*F32/G32</f>
        <v>0.535842239578433</v>
      </c>
      <c r="I32" s="73"/>
      <c r="J32" s="73"/>
      <c r="K32" s="1"/>
      <c r="L32" s="1"/>
      <c r="M32" s="1"/>
      <c r="N32" s="1"/>
      <c r="O32" s="1"/>
      <c r="P32" s="1"/>
      <c r="Q32" s="80"/>
      <c r="R32" s="1"/>
      <c r="S32" s="1"/>
      <c r="T32" s="1"/>
      <c r="U32" s="1"/>
      <c r="V32" s="1"/>
    </row>
    <row r="33" customFormat="false" ht="13.8" hidden="false" customHeight="false" outlineLevel="0" collapsed="false">
      <c r="A33" s="1"/>
      <c r="B33" s="81" t="n">
        <f aca="false">+B32+J$6</f>
        <v>160</v>
      </c>
      <c r="C33" s="82" t="n">
        <f aca="false">+C32*J$4*J$6*F32/G32</f>
        <v>2339.1966671417</v>
      </c>
      <c r="D33" s="83" t="n">
        <f aca="false">D32+C32</f>
        <v>9369419.17606974</v>
      </c>
      <c r="E33" s="77" t="n">
        <f aca="false">D33*100/G33</f>
        <v>67.7636678888358</v>
      </c>
      <c r="F33" s="81" t="n">
        <f aca="false">F32-C33</f>
        <v>4628241.62726311</v>
      </c>
      <c r="G33" s="78" t="n">
        <f aca="false">G32-C32*S$3</f>
        <v>13826611.6164786</v>
      </c>
      <c r="H33" s="79" t="n">
        <f aca="false">K$5*F33/G33</f>
        <v>0.535574933976988</v>
      </c>
      <c r="I33" s="73"/>
      <c r="J33" s="73"/>
      <c r="K33" s="1"/>
      <c r="L33" s="1"/>
      <c r="M33" s="1"/>
      <c r="N33" s="1"/>
      <c r="O33" s="1"/>
      <c r="P33" s="1"/>
      <c r="Q33" s="80"/>
      <c r="R33" s="1"/>
      <c r="S33" s="1"/>
      <c r="T33" s="1"/>
      <c r="U33" s="1"/>
      <c r="V33" s="1"/>
    </row>
    <row r="34" customFormat="false" ht="13.8" hidden="false" customHeight="false" outlineLevel="0" collapsed="false">
      <c r="A34" s="1"/>
      <c r="B34" s="81" t="n">
        <f aca="false">+B33+J$6</f>
        <v>168</v>
      </c>
      <c r="C34" s="82" t="n">
        <f aca="false">+C33*J$4*J$6*F33/G33</f>
        <v>1252.81510056361</v>
      </c>
      <c r="D34" s="83" t="n">
        <f aca="false">D33+C33</f>
        <v>9371758.37273689</v>
      </c>
      <c r="E34" s="77" t="n">
        <f aca="false">D34*100/G34</f>
        <v>67.7808153090741</v>
      </c>
      <c r="F34" s="81" t="n">
        <f aca="false">F33-C34</f>
        <v>4626988.81216255</v>
      </c>
      <c r="G34" s="78" t="n">
        <f aca="false">G33-C33*S$3</f>
        <v>13826564.8325453</v>
      </c>
      <c r="H34" s="79" t="n">
        <f aca="false">K$5*F34/G34</f>
        <v>0.535431771312735</v>
      </c>
      <c r="I34" s="73"/>
      <c r="J34" s="73"/>
      <c r="K34" s="1"/>
      <c r="L34" s="1"/>
      <c r="M34" s="1"/>
      <c r="N34" s="1"/>
      <c r="O34" s="1"/>
      <c r="P34" s="1"/>
      <c r="Q34" s="80"/>
      <c r="R34" s="1"/>
      <c r="S34" s="1"/>
      <c r="T34" s="1"/>
      <c r="U34" s="1"/>
      <c r="V34" s="1"/>
    </row>
    <row r="35" customFormat="false" ht="13.8" hidden="false" customHeight="false" outlineLevel="0" collapsed="false">
      <c r="A35" s="1"/>
      <c r="B35" s="81" t="n">
        <f aca="false">+B34+J$6</f>
        <v>176</v>
      </c>
      <c r="C35" s="82" t="n">
        <f aca="false">+C34*J$4*J$6*F34/G34</f>
        <v>670.797008422115</v>
      </c>
      <c r="D35" s="83" t="n">
        <f aca="false">D34+C34</f>
        <v>9373011.18783745</v>
      </c>
      <c r="E35" s="77" t="n">
        <f aca="false">D35*100/G35</f>
        <v>67.7899990852531</v>
      </c>
      <c r="F35" s="81" t="n">
        <f aca="false">F34-C35</f>
        <v>4626318.01515413</v>
      </c>
      <c r="G35" s="78" t="n">
        <f aca="false">G34-C34*S$3</f>
        <v>13826539.7762432</v>
      </c>
      <c r="H35" s="79" t="n">
        <f aca="false">K$5*F35/G35</f>
        <v>0.535355117334917</v>
      </c>
      <c r="I35" s="73"/>
      <c r="J35" s="73"/>
      <c r="K35" s="1"/>
      <c r="L35" s="1"/>
      <c r="M35" s="1"/>
      <c r="N35" s="1"/>
      <c r="O35" s="1"/>
      <c r="P35" s="1"/>
      <c r="Q35" s="80"/>
      <c r="R35" s="1"/>
      <c r="S35" s="1"/>
      <c r="T35" s="1"/>
      <c r="U35" s="1"/>
      <c r="V35" s="1"/>
    </row>
    <row r="36" customFormat="false" ht="13.8" hidden="false" customHeight="false" outlineLevel="0" collapsed="false">
      <c r="A36" s="1"/>
      <c r="B36" s="81" t="n">
        <f aca="false">+B35+J$6</f>
        <v>184</v>
      </c>
      <c r="C36" s="82" t="n">
        <f aca="false">+C35*J$4*J$6*F35/G35</f>
        <v>359.114611151733</v>
      </c>
      <c r="D36" s="83" t="n">
        <f aca="false">D35+C35</f>
        <v>9373681.98484587</v>
      </c>
      <c r="E36" s="77" t="n">
        <f aca="false">D36*100/G36</f>
        <v>67.7949163844823</v>
      </c>
      <c r="F36" s="81" t="n">
        <f aca="false">F35-C36</f>
        <v>4625958.90054298</v>
      </c>
      <c r="G36" s="78" t="n">
        <f aca="false">G35-C35*S$3</f>
        <v>13826526.3603031</v>
      </c>
      <c r="H36" s="79" t="n">
        <f aca="false">K$5*F36/G36</f>
        <v>0.53531408019581</v>
      </c>
      <c r="I36" s="73"/>
      <c r="J36" s="73"/>
      <c r="K36" s="1"/>
      <c r="L36" s="1"/>
      <c r="M36" s="1"/>
      <c r="N36" s="1"/>
      <c r="O36" s="1"/>
      <c r="P36" s="1"/>
      <c r="Q36" s="80"/>
      <c r="R36" s="1"/>
      <c r="S36" s="1"/>
      <c r="T36" s="1"/>
      <c r="U36" s="1"/>
      <c r="V36" s="1"/>
    </row>
    <row r="37" customFormat="false" ht="13.8" hidden="false" customHeight="false" outlineLevel="0" collapsed="false">
      <c r="A37" s="1"/>
      <c r="B37" s="81" t="n">
        <f aca="false">+B36+J$6</f>
        <v>192</v>
      </c>
      <c r="C37" s="82" t="n">
        <f aca="false">+C36*J$4*J$6*F36/G36</f>
        <v>192.239107753566</v>
      </c>
      <c r="D37" s="83" t="n">
        <f aca="false">D36+C36</f>
        <v>9374041.09945702</v>
      </c>
      <c r="E37" s="77" t="n">
        <f aca="false">D37*100/G37</f>
        <v>67.7975488897099</v>
      </c>
      <c r="F37" s="81" t="n">
        <f aca="false">F36-C37</f>
        <v>4625766.66143522</v>
      </c>
      <c r="G37" s="78" t="n">
        <f aca="false">G36-C36*S$3</f>
        <v>13826519.1780109</v>
      </c>
      <c r="H37" s="79" t="n">
        <f aca="false">K$5*F37/G37</f>
        <v>0.535292112426024</v>
      </c>
      <c r="I37" s="73"/>
      <c r="J37" s="73"/>
      <c r="K37" s="1"/>
      <c r="L37" s="1"/>
      <c r="M37" s="1"/>
      <c r="N37" s="1"/>
      <c r="O37" s="1"/>
      <c r="P37" s="1"/>
      <c r="Q37" s="80"/>
      <c r="R37" s="1"/>
      <c r="S37" s="1"/>
      <c r="T37" s="1"/>
      <c r="U37" s="1"/>
      <c r="V37" s="1"/>
    </row>
    <row r="38" customFormat="false" ht="13.8" hidden="false" customHeight="false" outlineLevel="0" collapsed="false">
      <c r="A38" s="1"/>
      <c r="B38" s="81" t="n">
        <f aca="false">+B37+J$6</f>
        <v>200</v>
      </c>
      <c r="C38" s="82" t="n">
        <f aca="false">+C37*J$4*J$6*F37/G37</f>
        <v>102.9040780803</v>
      </c>
      <c r="D38" s="83" t="n">
        <f aca="false">D37+C37</f>
        <v>9374233.33856478</v>
      </c>
      <c r="E38" s="77" t="n">
        <f aca="false">D38*100/G38</f>
        <v>67.7989581079483</v>
      </c>
      <c r="F38" s="81" t="n">
        <f aca="false">F37-C38</f>
        <v>4625663.75735714</v>
      </c>
      <c r="G38" s="78" t="n">
        <f aca="false">G37-C37*S$3</f>
        <v>13826515.3332287</v>
      </c>
      <c r="H38" s="79" t="n">
        <f aca="false">K$5*F38/G38</f>
        <v>0.535280353248859</v>
      </c>
      <c r="I38" s="73"/>
      <c r="J38" s="73"/>
      <c r="K38" s="1"/>
      <c r="L38" s="1"/>
      <c r="M38" s="1"/>
      <c r="N38" s="1"/>
      <c r="O38" s="1"/>
      <c r="P38" s="1"/>
      <c r="Q38" s="80"/>
      <c r="R38" s="1"/>
      <c r="S38" s="1"/>
      <c r="T38" s="1"/>
      <c r="U38" s="1"/>
      <c r="V38" s="1"/>
    </row>
    <row r="39" customFormat="false" ht="13.8" hidden="false" customHeight="false" outlineLevel="0" collapsed="false">
      <c r="A39" s="1"/>
      <c r="B39" s="81" t="n">
        <f aca="false">+B38+J$6</f>
        <v>208</v>
      </c>
      <c r="C39" s="82" t="n">
        <f aca="false">+C38*J$4*J$6*F38/G38</f>
        <v>55.0825312655714</v>
      </c>
      <c r="D39" s="83" t="n">
        <f aca="false">D38+C38</f>
        <v>9374336.24264286</v>
      </c>
      <c r="E39" s="77" t="n">
        <f aca="false">D39*100/G39</f>
        <v>67.7997124516781</v>
      </c>
      <c r="F39" s="81" t="n">
        <f aca="false">F38-C39</f>
        <v>4625608.67482588</v>
      </c>
      <c r="G39" s="78" t="n">
        <f aca="false">G38-C38*S$3</f>
        <v>13826513.2751471</v>
      </c>
      <c r="H39" s="79" t="n">
        <f aca="false">K$5*F39/G39</f>
        <v>0.535274058791416</v>
      </c>
      <c r="I39" s="73"/>
      <c r="J39" s="73"/>
      <c r="K39" s="1"/>
      <c r="L39" s="1"/>
      <c r="M39" s="1"/>
      <c r="N39" s="1"/>
      <c r="O39" s="1"/>
      <c r="P39" s="1"/>
      <c r="Q39" s="80"/>
      <c r="R39" s="1"/>
      <c r="S39" s="1"/>
      <c r="T39" s="1"/>
      <c r="U39" s="1"/>
      <c r="V39" s="1"/>
    </row>
    <row r="40" customFormat="false" ht="13.8" hidden="false" customHeight="false" outlineLevel="0" collapsed="false">
      <c r="A40" s="1"/>
      <c r="B40" s="81" t="n">
        <f aca="false">+B39+J$6</f>
        <v>216</v>
      </c>
      <c r="C40" s="82" t="n">
        <f aca="false">+C39*J$4*J$6*F39/G39</f>
        <v>29.4842500790275</v>
      </c>
      <c r="D40" s="83" t="n">
        <f aca="false">D39+C39</f>
        <v>9374391.32517412</v>
      </c>
      <c r="E40" s="77" t="n">
        <f aca="false">D40*100/G40</f>
        <v>67.8001162371485</v>
      </c>
      <c r="F40" s="81" t="n">
        <f aca="false">F39-C40</f>
        <v>4625579.1905758</v>
      </c>
      <c r="G40" s="78" t="n">
        <f aca="false">G39-C39*S$3</f>
        <v>13826512.1734965</v>
      </c>
      <c r="H40" s="79" t="n">
        <f aca="false">K$5*F40/G40</f>
        <v>0.535270689531364</v>
      </c>
      <c r="I40" s="73"/>
      <c r="J40" s="73"/>
      <c r="K40" s="1"/>
      <c r="L40" s="1"/>
      <c r="M40" s="1"/>
      <c r="N40" s="1"/>
      <c r="O40" s="1"/>
      <c r="P40" s="1"/>
      <c r="Q40" s="80"/>
      <c r="R40" s="1"/>
      <c r="S40" s="1"/>
      <c r="T40" s="1"/>
      <c r="U40" s="1"/>
      <c r="V40" s="1"/>
    </row>
    <row r="41" customFormat="false" ht="13.8" hidden="false" customHeight="false" outlineLevel="0" collapsed="false">
      <c r="A41" s="1"/>
      <c r="B41" s="81" t="n">
        <f aca="false">+B40+J$6</f>
        <v>224</v>
      </c>
      <c r="C41" s="82" t="n">
        <f aca="false">+C40*J$4*J$6*F40/G40</f>
        <v>15.7820548701162</v>
      </c>
      <c r="D41" s="83" t="n">
        <f aca="false">D40+C40</f>
        <v>9374420.8094242</v>
      </c>
      <c r="E41" s="77" t="n">
        <f aca="false">D41*100/G41</f>
        <v>67.8003323730626</v>
      </c>
      <c r="F41" s="81" t="n">
        <f aca="false">F40-C41</f>
        <v>4625563.40852093</v>
      </c>
      <c r="G41" s="78" t="n">
        <f aca="false">G40-C40*S$3</f>
        <v>13826511.5838115</v>
      </c>
      <c r="H41" s="79" t="n">
        <f aca="false">K$5*F41/G41</f>
        <v>0.535268886065136</v>
      </c>
      <c r="I41" s="73"/>
      <c r="J41" s="73"/>
      <c r="K41" s="1"/>
      <c r="L41" s="1"/>
      <c r="M41" s="1"/>
      <c r="N41" s="1"/>
      <c r="O41" s="1"/>
      <c r="P41" s="1"/>
      <c r="Q41" s="80"/>
      <c r="R41" s="1"/>
      <c r="S41" s="1"/>
      <c r="T41" s="1"/>
      <c r="U41" s="1"/>
      <c r="V41" s="1"/>
    </row>
    <row r="42" customFormat="false" ht="13.8" hidden="false" customHeight="false" outlineLevel="0" collapsed="false">
      <c r="A42" s="1"/>
      <c r="B42" s="81" t="n">
        <f aca="false">+B41+J$6</f>
        <v>232</v>
      </c>
      <c r="C42" s="82" t="n">
        <f aca="false">+C41*J$4*J$6*F41/G41</f>
        <v>8.44764293014596</v>
      </c>
      <c r="D42" s="83" t="n">
        <f aca="false">D41+C41</f>
        <v>9374436.59147907</v>
      </c>
      <c r="E42" s="77" t="n">
        <f aca="false">D42*100/G42</f>
        <v>67.8004480642899</v>
      </c>
      <c r="F42" s="81" t="n">
        <f aca="false">F41-C42</f>
        <v>4625554.960878</v>
      </c>
      <c r="G42" s="78" t="n">
        <f aca="false">G41-C41*S$3</f>
        <v>13826511.2681704</v>
      </c>
      <c r="H42" s="79" t="n">
        <f aca="false">K$5*F42/G42</f>
        <v>0.535267920725755</v>
      </c>
      <c r="I42" s="73"/>
      <c r="J42" s="73"/>
      <c r="K42" s="1"/>
      <c r="L42" s="1"/>
      <c r="M42" s="1"/>
      <c r="N42" s="1"/>
      <c r="O42" s="1"/>
      <c r="P42" s="1"/>
      <c r="Q42" s="80"/>
      <c r="R42" s="1"/>
      <c r="S42" s="1"/>
      <c r="T42" s="1"/>
      <c r="U42" s="1"/>
      <c r="V42" s="1"/>
    </row>
    <row r="43" customFormat="false" ht="13.8" hidden="false" customHeight="false" outlineLevel="0" collapsed="false">
      <c r="A43" s="1"/>
      <c r="B43" s="81" t="n">
        <f aca="false">+B42+J$6</f>
        <v>240</v>
      </c>
      <c r="C43" s="82" t="n">
        <f aca="false">+C42*J$4*J$6*F42/G42</f>
        <v>4.52175226625285</v>
      </c>
      <c r="D43" s="83" t="n">
        <f aca="false">D42+C42</f>
        <v>9374445.039122</v>
      </c>
      <c r="E43" s="77" t="n">
        <f aca="false">D43*100/G43</f>
        <v>67.8005099902065</v>
      </c>
      <c r="F43" s="81" t="n">
        <f aca="false">F42-C43</f>
        <v>4625550.43912573</v>
      </c>
      <c r="G43" s="78" t="n">
        <f aca="false">G42-C42*S$3</f>
        <v>13826511.0992176</v>
      </c>
      <c r="H43" s="79" t="n">
        <f aca="false">K$5*F43/G43</f>
        <v>0.535267404010545</v>
      </c>
      <c r="I43" s="73"/>
      <c r="J43" s="73"/>
      <c r="K43" s="1"/>
      <c r="L43" s="1"/>
      <c r="M43" s="1"/>
      <c r="N43" s="1"/>
      <c r="O43" s="1"/>
      <c r="P43" s="1"/>
      <c r="Q43" s="80"/>
      <c r="R43" s="1"/>
      <c r="S43" s="1"/>
      <c r="T43" s="1"/>
      <c r="U43" s="1"/>
      <c r="V43" s="1"/>
    </row>
    <row r="44" customFormat="false" ht="13.8" hidden="false" customHeight="false" outlineLevel="0" collapsed="false">
      <c r="A44" s="1"/>
      <c r="B44" s="81" t="n">
        <f aca="false">+B43+J$6</f>
        <v>248</v>
      </c>
      <c r="C44" s="82" t="n">
        <f aca="false">+C43*J$4*J$6*F43/G43</f>
        <v>2.42034659713596</v>
      </c>
      <c r="D44" s="83" t="n">
        <f aca="false">D43+C43</f>
        <v>9374449.56087427</v>
      </c>
      <c r="E44" s="77" t="n">
        <f aca="false">D44*100/G44</f>
        <v>67.8005431371637</v>
      </c>
      <c r="F44" s="81" t="n">
        <f aca="false">F43-C44</f>
        <v>4625548.01877914</v>
      </c>
      <c r="G44" s="78" t="n">
        <f aca="false">G43-C43*S$3</f>
        <v>13826511.0087825</v>
      </c>
      <c r="H44" s="79" t="n">
        <f aca="false">K$5*F44/G44</f>
        <v>0.535267127429735</v>
      </c>
      <c r="I44" s="73"/>
      <c r="J44" s="73"/>
      <c r="K44" s="1"/>
      <c r="L44" s="1"/>
      <c r="M44" s="1"/>
      <c r="N44" s="1"/>
      <c r="O44" s="1"/>
      <c r="P44" s="1"/>
      <c r="Q44" s="80"/>
      <c r="R44" s="1"/>
      <c r="S44" s="1"/>
      <c r="T44" s="1"/>
      <c r="U44" s="1"/>
      <c r="V44" s="1"/>
    </row>
    <row r="45" customFormat="false" ht="13.8" hidden="false" customHeight="false" outlineLevel="0" collapsed="false">
      <c r="A45" s="1"/>
      <c r="B45" s="81" t="n">
        <f aca="false">+B44+J$6</f>
        <v>256</v>
      </c>
      <c r="C45" s="82" t="n">
        <f aca="false">+C44*J$4*J$6*F44/G44</f>
        <v>1.2955319704333</v>
      </c>
      <c r="D45" s="83" t="n">
        <f aca="false">D44+C44</f>
        <v>9374451.98122087</v>
      </c>
      <c r="E45" s="77" t="n">
        <f aca="false">D45*100/G45</f>
        <v>67.8005608796496</v>
      </c>
      <c r="F45" s="81" t="n">
        <f aca="false">F44-C45</f>
        <v>4625546.72324717</v>
      </c>
      <c r="G45" s="78" t="n">
        <f aca="false">G44-C44*S$3</f>
        <v>13826510.9603756</v>
      </c>
      <c r="H45" s="79" t="n">
        <f aca="false">K$5*F45/G45</f>
        <v>0.535266979385118</v>
      </c>
      <c r="I45" s="73"/>
      <c r="J45" s="73"/>
      <c r="K45" s="1"/>
      <c r="L45" s="1"/>
      <c r="M45" s="1"/>
      <c r="N45" s="1"/>
      <c r="O45" s="1"/>
      <c r="P45" s="1"/>
      <c r="Q45" s="80"/>
      <c r="R45" s="1"/>
      <c r="S45" s="1"/>
      <c r="T45" s="1"/>
      <c r="U45" s="1"/>
      <c r="V45" s="1"/>
    </row>
    <row r="46" customFormat="false" ht="13.8" hidden="false" customHeight="false" outlineLevel="0" collapsed="false">
      <c r="A46" s="1"/>
      <c r="B46" s="81" t="n">
        <f aca="false">+B45+J$6</f>
        <v>264</v>
      </c>
      <c r="C46" s="82" t="n">
        <f aca="false">+C45*J$4*J$6*F45/G45</f>
        <v>0.693455484510683</v>
      </c>
      <c r="D46" s="83" t="n">
        <f aca="false">D45+C45</f>
        <v>9374453.27675284</v>
      </c>
      <c r="E46" s="77" t="n">
        <f aca="false">D46*100/G46</f>
        <v>67.8005703766191</v>
      </c>
      <c r="F46" s="81" t="n">
        <f aca="false">F45-C46</f>
        <v>4625546.02979168</v>
      </c>
      <c r="G46" s="78" t="n">
        <f aca="false">G45-C45*S$3</f>
        <v>13826510.9344649</v>
      </c>
      <c r="H46" s="79" t="n">
        <f aca="false">K$5*F46/G46</f>
        <v>0.535266900141723</v>
      </c>
      <c r="I46" s="73"/>
      <c r="J46" s="73"/>
      <c r="K46" s="1"/>
      <c r="L46" s="1"/>
      <c r="M46" s="1"/>
      <c r="N46" s="1"/>
      <c r="O46" s="1"/>
      <c r="P46" s="1"/>
      <c r="Q46" s="80"/>
      <c r="R46" s="1"/>
      <c r="S46" s="1"/>
      <c r="T46" s="1"/>
      <c r="U46" s="1"/>
      <c r="V46" s="1"/>
    </row>
    <row r="47" customFormat="false" ht="13.8" hidden="false" customHeight="false" outlineLevel="0" collapsed="false">
      <c r="A47" s="1"/>
      <c r="B47" s="81" t="n">
        <f aca="false">+B46+J$6</f>
        <v>272</v>
      </c>
      <c r="C47" s="82" t="n">
        <f aca="false">+C46*J$4*J$6*F46/G46</f>
        <v>0.37118376758031</v>
      </c>
      <c r="D47" s="83" t="n">
        <f aca="false">D46+C46</f>
        <v>9374453.97020832</v>
      </c>
      <c r="E47" s="77" t="n">
        <f aca="false">D47*100/G47</f>
        <v>67.8005754600333</v>
      </c>
      <c r="F47" s="81" t="n">
        <f aca="false">F46-C47</f>
        <v>4625545.65860791</v>
      </c>
      <c r="G47" s="78" t="n">
        <f aca="false">G46-C46*S$3</f>
        <v>13826510.9205958</v>
      </c>
      <c r="H47" s="79" t="n">
        <f aca="false">K$5*F47/G47</f>
        <v>0.535266857725357</v>
      </c>
      <c r="I47" s="73"/>
      <c r="J47" s="73"/>
      <c r="K47" s="1"/>
      <c r="L47" s="1"/>
      <c r="M47" s="1"/>
      <c r="N47" s="1"/>
      <c r="O47" s="1"/>
      <c r="P47" s="1"/>
      <c r="Q47" s="80"/>
      <c r="R47" s="1"/>
      <c r="S47" s="1"/>
      <c r="T47" s="1"/>
      <c r="U47" s="1"/>
      <c r="V47" s="1"/>
    </row>
    <row r="48" customFormat="false" ht="13.8" hidden="false" customHeight="false" outlineLevel="0" collapsed="false">
      <c r="A48" s="1"/>
      <c r="B48" s="81" t="n">
        <f aca="false">+B47+J$6</f>
        <v>280</v>
      </c>
      <c r="C48" s="82" t="n">
        <f aca="false">+C47*J$4*J$6*F47/G47</f>
        <v>0.198682368911372</v>
      </c>
      <c r="D48" s="83" t="n">
        <f aca="false">D47+C47</f>
        <v>9374454.34139209</v>
      </c>
      <c r="E48" s="77" t="n">
        <f aca="false">D48*100/G48</f>
        <v>67.8005781810167</v>
      </c>
      <c r="F48" s="81" t="n">
        <f aca="false">F47-C48</f>
        <v>4625545.45992554</v>
      </c>
      <c r="G48" s="78" t="n">
        <f aca="false">G47-C47*S$3</f>
        <v>13826510.9131722</v>
      </c>
      <c r="H48" s="79" t="n">
        <f aca="false">K$5*F48/G48</f>
        <v>0.535266835021282</v>
      </c>
      <c r="I48" s="73"/>
      <c r="J48" s="73"/>
      <c r="K48" s="1"/>
      <c r="L48" s="1"/>
      <c r="M48" s="1"/>
      <c r="N48" s="1"/>
      <c r="O48" s="1"/>
      <c r="P48" s="1"/>
      <c r="Q48" s="80"/>
      <c r="R48" s="1"/>
      <c r="S48" s="1"/>
      <c r="T48" s="1"/>
      <c r="U48" s="1"/>
      <c r="V48" s="1"/>
    </row>
    <row r="49" customFormat="false" ht="13.8" hidden="false" customHeight="false" outlineLevel="0" collapsed="false">
      <c r="A49" s="1"/>
      <c r="B49" s="81" t="n">
        <f aca="false">+B48+J$6</f>
        <v>288</v>
      </c>
      <c r="C49" s="82" t="n">
        <f aca="false">+C48*J$4*J$6*F48/G48</f>
        <v>0.106348082781721</v>
      </c>
      <c r="D49" s="83" t="n">
        <f aca="false">D48+C48</f>
        <v>9374454.54007446</v>
      </c>
      <c r="E49" s="77" t="n">
        <f aca="false">D49*100/G49</f>
        <v>67.8005796374689</v>
      </c>
      <c r="F49" s="81" t="n">
        <f aca="false">F48-C49</f>
        <v>4625545.35357746</v>
      </c>
      <c r="G49" s="78" t="n">
        <f aca="false">G48-C48*S$3</f>
        <v>13826510.9091985</v>
      </c>
      <c r="H49" s="79" t="n">
        <f aca="false">K$5*F49/G49</f>
        <v>0.535266822868543</v>
      </c>
      <c r="I49" s="73"/>
      <c r="J49" s="73"/>
      <c r="K49" s="1"/>
      <c r="L49" s="1"/>
      <c r="M49" s="1"/>
      <c r="N49" s="1"/>
      <c r="O49" s="1"/>
      <c r="P49" s="1"/>
      <c r="Q49" s="80"/>
      <c r="R49" s="1"/>
      <c r="S49" s="1"/>
      <c r="T49" s="1"/>
      <c r="U49" s="1"/>
      <c r="V49" s="1"/>
    </row>
    <row r="50" customFormat="false" ht="13.8" hidden="false" customHeight="false" outlineLevel="0" collapsed="false">
      <c r="A50" s="1"/>
      <c r="B50" s="81" t="n">
        <f aca="false">+B49+J$6</f>
        <v>296</v>
      </c>
      <c r="C50" s="82" t="n">
        <f aca="false">+C49*J$4*J$6*F49/G49</f>
        <v>0.0569246003887325</v>
      </c>
      <c r="D50" s="83" t="n">
        <f aca="false">D49+C49</f>
        <v>9374454.64642254</v>
      </c>
      <c r="E50" s="77" t="n">
        <f aca="false">D50*100/G50</f>
        <v>67.8005804170595</v>
      </c>
      <c r="F50" s="81" t="n">
        <f aca="false">F49-C50</f>
        <v>4625545.29665286</v>
      </c>
      <c r="G50" s="78" t="n">
        <f aca="false">G49-C49*S$3</f>
        <v>13826510.9070715</v>
      </c>
      <c r="H50" s="79" t="n">
        <f aca="false">K$5*F50/G50</f>
        <v>0.535266816363586</v>
      </c>
      <c r="I50" s="73"/>
      <c r="J50" s="73"/>
      <c r="K50" s="1"/>
      <c r="L50" s="1"/>
      <c r="M50" s="1"/>
      <c r="N50" s="1"/>
      <c r="O50" s="1"/>
      <c r="P50" s="1"/>
      <c r="Q50" s="80"/>
      <c r="R50" s="1"/>
      <c r="S50" s="1"/>
      <c r="T50" s="1"/>
      <c r="U50" s="1"/>
      <c r="V50" s="1"/>
    </row>
    <row r="51" customFormat="false" ht="13.8" hidden="false" customHeight="false" outlineLevel="0" collapsed="false">
      <c r="A51" s="1"/>
      <c r="B51" s="81" t="n">
        <f aca="false">+B50+J$6</f>
        <v>304</v>
      </c>
      <c r="C51" s="82" t="n">
        <f aca="false">+C50*J$4*J$6*F50/G50</f>
        <v>0.0304698496228462</v>
      </c>
      <c r="D51" s="83" t="n">
        <f aca="false">D50+C50</f>
        <v>9374454.70334714</v>
      </c>
      <c r="E51" s="77" t="n">
        <f aca="false">D51*100/G51</f>
        <v>67.8005808343484</v>
      </c>
      <c r="F51" s="81" t="n">
        <f aca="false">F50-C51</f>
        <v>4625545.26618301</v>
      </c>
      <c r="G51" s="78" t="n">
        <f aca="false">G50-C50*S$3</f>
        <v>13826510.9059331</v>
      </c>
      <c r="H51" s="79" t="n">
        <f aca="false">K$5*F51/G51</f>
        <v>0.535266812881698</v>
      </c>
      <c r="I51" s="73"/>
      <c r="J51" s="73"/>
      <c r="K51" s="1"/>
      <c r="L51" s="1"/>
      <c r="M51" s="1"/>
      <c r="N51" s="1"/>
      <c r="O51" s="1"/>
      <c r="P51" s="1"/>
      <c r="Q51" s="80"/>
      <c r="R51" s="1"/>
      <c r="S51" s="1"/>
      <c r="T51" s="1"/>
      <c r="U51" s="1"/>
      <c r="V51" s="1"/>
    </row>
    <row r="52" customFormat="false" ht="13.8" hidden="false" customHeight="false" outlineLevel="0" collapsed="false">
      <c r="A52" s="1"/>
      <c r="B52" s="81" t="n">
        <f aca="false">+B51+J$6</f>
        <v>312</v>
      </c>
      <c r="C52" s="82" t="n">
        <f aca="false">+C51*J$4*J$6*F51/G51</f>
        <v>0.0163094992966055</v>
      </c>
      <c r="D52" s="83" t="n">
        <f aca="false">D51+C51</f>
        <v>9374454.73381699</v>
      </c>
      <c r="E52" s="77" t="n">
        <f aca="false">D52*100/G52</f>
        <v>67.8005810577094</v>
      </c>
      <c r="F52" s="81" t="n">
        <f aca="false">F51-C52</f>
        <v>4625545.24987351</v>
      </c>
      <c r="G52" s="78" t="n">
        <f aca="false">G51-C51*S$3</f>
        <v>13826510.9053237</v>
      </c>
      <c r="H52" s="79" t="n">
        <f aca="false">K$5*F52/G52</f>
        <v>0.535266811017959</v>
      </c>
      <c r="I52" s="73"/>
      <c r="J52" s="73"/>
      <c r="K52" s="1"/>
      <c r="L52" s="1"/>
      <c r="M52" s="1"/>
      <c r="N52" s="1"/>
      <c r="O52" s="1"/>
      <c r="P52" s="1"/>
      <c r="Q52" s="80"/>
      <c r="R52" s="1"/>
      <c r="S52" s="1"/>
      <c r="T52" s="1"/>
      <c r="U52" s="1"/>
      <c r="V52" s="1"/>
    </row>
    <row r="53" customFormat="false" ht="13.8" hidden="false" customHeight="false" outlineLevel="0" collapsed="false">
      <c r="A53" s="1"/>
      <c r="B53" s="81" t="n">
        <f aca="false">+B52+J$6</f>
        <v>320</v>
      </c>
      <c r="C53" s="82" t="n">
        <f aca="false">+C52*J$4*J$6*F52/G52</f>
        <v>0.00872993367779365</v>
      </c>
      <c r="D53" s="83" t="n">
        <f aca="false">D52+C52</f>
        <v>9374454.75012649</v>
      </c>
      <c r="E53" s="77" t="n">
        <f aca="false">D53*100/G53</f>
        <v>67.8005811772671</v>
      </c>
      <c r="F53" s="81" t="n">
        <f aca="false">F52-C53</f>
        <v>4625545.24114358</v>
      </c>
      <c r="G53" s="78" t="n">
        <f aca="false">G52-C52*S$3</f>
        <v>13826510.9049975</v>
      </c>
      <c r="H53" s="79" t="n">
        <f aca="false">K$5*F53/G53</f>
        <v>0.535266810020361</v>
      </c>
      <c r="I53" s="73"/>
      <c r="J53" s="73"/>
      <c r="K53" s="1"/>
      <c r="L53" s="1"/>
      <c r="M53" s="1"/>
      <c r="N53" s="1"/>
      <c r="O53" s="1"/>
      <c r="P53" s="1"/>
      <c r="Q53" s="80"/>
      <c r="R53" s="1"/>
      <c r="S53" s="1"/>
      <c r="T53" s="1"/>
      <c r="U53" s="1"/>
      <c r="V53" s="1"/>
    </row>
    <row r="54" customFormat="false" ht="13.8" hidden="false" customHeight="false" outlineLevel="0" collapsed="false">
      <c r="A54" s="1"/>
      <c r="B54" s="81"/>
      <c r="C54" s="82"/>
      <c r="D54" s="86"/>
      <c r="E54" s="83"/>
      <c r="F54" s="81"/>
      <c r="G54" s="78"/>
      <c r="H54" s="73"/>
      <c r="I54" s="87"/>
      <c r="J54" s="73"/>
      <c r="K54" s="1"/>
      <c r="L54" s="1"/>
      <c r="M54" s="1"/>
      <c r="N54" s="1"/>
      <c r="O54" s="1"/>
      <c r="P54" s="1"/>
      <c r="Q54" s="80"/>
      <c r="R54" s="1"/>
      <c r="S54" s="1"/>
      <c r="T54" s="1"/>
      <c r="U54" s="1"/>
      <c r="V54" s="1"/>
    </row>
  </sheetData>
  <mergeCells count="21">
    <mergeCell ref="B1:R1"/>
    <mergeCell ref="K2:N2"/>
    <mergeCell ref="O2:R2"/>
    <mergeCell ref="I3:I4"/>
    <mergeCell ref="K3:N3"/>
    <mergeCell ref="O3:P3"/>
    <mergeCell ref="O4:P4"/>
    <mergeCell ref="I5:I6"/>
    <mergeCell ref="L5:M5"/>
    <mergeCell ref="O5:Q6"/>
    <mergeCell ref="K6:N6"/>
    <mergeCell ref="I7:I8"/>
    <mergeCell ref="K7:N7"/>
    <mergeCell ref="O7:Q8"/>
    <mergeCell ref="K8:N8"/>
    <mergeCell ref="I9:I10"/>
    <mergeCell ref="O9:P10"/>
    <mergeCell ref="V9:V10"/>
    <mergeCell ref="K10:N10"/>
    <mergeCell ref="B11:R11"/>
    <mergeCell ref="I12:I2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2020-03-19T11:33:51Z</dcterms:created>
  <dc:creator>Joran Buwalda</dc:creator>
  <dc:description/>
  <dc:language>nl-NL</dc:language>
  <cp:lastModifiedBy/>
  <dcterms:modified xsi:type="dcterms:W3CDTF">2021-01-15T21:46:08Z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